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TIP\17-20 TIP UPDATE\11-1-2016 Mailout\"/>
    </mc:Choice>
  </mc:AlternateContent>
  <bookViews>
    <workbookView xWindow="100" yWindow="110" windowWidth="9360" windowHeight="4440" tabRatio="675" activeTab="5"/>
  </bookViews>
  <sheets>
    <sheet name="widening" sheetId="2" r:id="rId1"/>
    <sheet name="intersection" sheetId="1" r:id="rId2"/>
    <sheet name="safety" sheetId="3" r:id="rId3"/>
    <sheet name="R,R,R" sheetId="4" r:id="rId4"/>
    <sheet name="New Const." sheetId="7" r:id="rId5"/>
    <sheet name="Bridge R&amp;R" sheetId="8" r:id="rId6"/>
    <sheet name="Bike Ped" sheetId="11" r:id="rId7"/>
    <sheet name="Carpool Admin." sheetId="9" r:id="rId8"/>
    <sheet name="Sheet1" sheetId="12" state="hidden" r:id="rId9"/>
  </sheets>
  <definedNames>
    <definedName name="_xlnm._FilterDatabase" localSheetId="2" hidden="1">safety!$L$6:$L$8</definedName>
    <definedName name="FunctionalClass">'Bridge R&amp;R'!$K$11:$K$14</definedName>
    <definedName name="_xlnm.Print_Area" localSheetId="6">'Bike Ped'!$A$1:$E$33</definedName>
    <definedName name="_xlnm.Print_Area" localSheetId="5">'Bridge R&amp;R'!$A$1:$F$63</definedName>
    <definedName name="_xlnm.Print_Area" localSheetId="7">'Carpool Admin.'!$A$1:$F$40</definedName>
    <definedName name="_xlnm.Print_Area" localSheetId="1">intersection!$A$1:$F$56</definedName>
    <definedName name="_xlnm.Print_Area" localSheetId="4">'New Const.'!$A$1:$F$40</definedName>
    <definedName name="_xlnm.Print_Area" localSheetId="3">'R,R,R'!$A$1:$F$50</definedName>
    <definedName name="_xlnm.Print_Area" localSheetId="0">widening!$A$1:$G$56</definedName>
    <definedName name="StructuralDeficiency">'Bridge R&amp;R'!$J$49:$J$50</definedName>
    <definedName name="WaterwayAdequacy">Sheet1!$A$1:$A$4</definedName>
  </definedNames>
  <calcPr calcId="152511"/>
</workbook>
</file>

<file path=xl/calcChain.xml><?xml version="1.0" encoding="utf-8"?>
<calcChain xmlns="http://schemas.openxmlformats.org/spreadsheetml/2006/main">
  <c r="F63" i="8" l="1"/>
  <c r="B50" i="8"/>
  <c r="C50" i="8" s="1"/>
  <c r="B45" i="8" l="1"/>
  <c r="C45" i="8" s="1"/>
  <c r="F20" i="8" l="1"/>
  <c r="F19" i="1"/>
  <c r="E34" i="9" l="1"/>
  <c r="F34" i="9" s="1"/>
  <c r="D28" i="11"/>
  <c r="E28" i="11" s="1"/>
  <c r="E60" i="8"/>
  <c r="F60" i="8" s="1"/>
  <c r="E35" i="7"/>
  <c r="F35" i="7"/>
  <c r="E45" i="4"/>
  <c r="F45" i="4" s="1"/>
  <c r="E22" i="3"/>
  <c r="F22" i="3" s="1"/>
  <c r="E52" i="1"/>
  <c r="F52" i="1" s="1"/>
  <c r="E52" i="2"/>
  <c r="F52" i="2" s="1"/>
  <c r="C45" i="1"/>
  <c r="D45" i="1" s="1"/>
  <c r="C47" i="1"/>
  <c r="D47" i="1" s="1"/>
  <c r="C40" i="2"/>
  <c r="D40" i="2" s="1"/>
  <c r="C42" i="2"/>
  <c r="D42" i="2"/>
  <c r="B48" i="2"/>
  <c r="C48" i="2" s="1"/>
  <c r="C29" i="7"/>
  <c r="D29" i="7"/>
  <c r="C27" i="7"/>
  <c r="D27" i="7" s="1"/>
  <c r="C8" i="8"/>
  <c r="E8" i="8" s="1"/>
  <c r="F8" i="8" s="1"/>
  <c r="B13" i="8"/>
  <c r="C13" i="8" s="1"/>
  <c r="D13" i="8" s="1"/>
  <c r="F18" i="8"/>
  <c r="C19" i="8"/>
  <c r="B40" i="8"/>
  <c r="C40" i="8" s="1"/>
  <c r="B23" i="7"/>
  <c r="C23" i="7" s="1"/>
  <c r="C18" i="8"/>
  <c r="B55" i="8"/>
  <c r="C55" i="8" s="1"/>
  <c r="C18" i="1"/>
  <c r="C19" i="1"/>
  <c r="B35" i="1"/>
  <c r="C35" i="1" s="1"/>
  <c r="B40" i="1"/>
  <c r="C40" i="1" s="1"/>
  <c r="C8" i="1"/>
  <c r="E8" i="1" s="1"/>
  <c r="F8" i="1" s="1"/>
  <c r="B13" i="1"/>
  <c r="C13" i="1" s="1"/>
  <c r="B30" i="9"/>
  <c r="C30" i="9"/>
  <c r="C8" i="9"/>
  <c r="C9" i="9"/>
  <c r="C18" i="2"/>
  <c r="C19" i="2"/>
  <c r="F18" i="2"/>
  <c r="C8" i="2"/>
  <c r="E8" i="2" s="1"/>
  <c r="F8" i="2" s="1"/>
  <c r="B13" i="2"/>
  <c r="C13" i="2" s="1"/>
  <c r="D13" i="2" s="1"/>
  <c r="B35" i="2"/>
  <c r="C35" i="2" s="1"/>
  <c r="B40" i="4"/>
  <c r="C40" i="4"/>
  <c r="C8" i="4"/>
  <c r="E8" i="4" s="1"/>
  <c r="F8" i="4" s="1"/>
  <c r="F18" i="4"/>
  <c r="C18" i="4"/>
  <c r="C19" i="4"/>
  <c r="B13" i="4"/>
  <c r="C13" i="4" s="1"/>
  <c r="D13" i="4" s="1"/>
  <c r="B17" i="3"/>
  <c r="C17" i="3" s="1"/>
  <c r="C12" i="3"/>
  <c r="F12" i="3" s="1"/>
  <c r="F32" i="3"/>
  <c r="D36" i="3"/>
  <c r="D37" i="3"/>
  <c r="E36" i="3" s="1"/>
  <c r="D41" i="3"/>
  <c r="D42" i="3"/>
  <c r="H47" i="3"/>
  <c r="H48" i="3"/>
  <c r="A46" i="3" s="1"/>
  <c r="B20" i="9"/>
  <c r="C20" i="9" s="1"/>
  <c r="B13" i="7"/>
  <c r="C13" i="7"/>
  <c r="D13" i="7" s="1"/>
  <c r="B13" i="11"/>
  <c r="C13" i="11"/>
  <c r="B8" i="11"/>
  <c r="C8" i="11" s="1"/>
  <c r="B23" i="11"/>
  <c r="C23" i="11" s="1"/>
  <c r="B18" i="11"/>
  <c r="C18" i="11" s="1"/>
  <c r="B25" i="9"/>
  <c r="C25" i="9"/>
  <c r="B30" i="8"/>
  <c r="C30" i="8" s="1"/>
  <c r="A35" i="8"/>
  <c r="B35" i="8" s="1"/>
  <c r="C35" i="8" s="1"/>
  <c r="B30" i="1"/>
  <c r="C30" i="1"/>
  <c r="C8" i="7"/>
  <c r="E8" i="7"/>
  <c r="F8" i="7" s="1"/>
  <c r="B18" i="7"/>
  <c r="C18" i="7" s="1"/>
  <c r="A35" i="4"/>
  <c r="B35" i="4" s="1"/>
  <c r="C35" i="4" s="1"/>
  <c r="B30" i="4"/>
  <c r="C30" i="4" s="1"/>
  <c r="B30" i="2"/>
  <c r="C30" i="2" s="1"/>
  <c r="C20" i="8" l="1"/>
  <c r="B23" i="8" s="1"/>
  <c r="E25" i="8" s="1"/>
  <c r="F25" i="8" s="1"/>
  <c r="E31" i="11"/>
  <c r="C10" i="9"/>
  <c r="B13" i="9" s="1"/>
  <c r="E15" i="9" s="1"/>
  <c r="F15" i="9" s="1"/>
  <c r="F38" i="9" s="1"/>
  <c r="F38" i="7"/>
  <c r="E41" i="3"/>
  <c r="F43" i="3" s="1"/>
  <c r="C20" i="4"/>
  <c r="B23" i="4" s="1"/>
  <c r="E25" i="4" s="1"/>
  <c r="F25" i="4" s="1"/>
  <c r="F48" i="4" s="1"/>
  <c r="C20" i="2"/>
  <c r="B23" i="2" s="1"/>
  <c r="E25" i="2" s="1"/>
  <c r="F25" i="2" s="1"/>
  <c r="F56" i="2" s="1"/>
  <c r="F37" i="3"/>
  <c r="F48" i="3" s="1"/>
  <c r="F51" i="3" s="1"/>
  <c r="C20" i="1"/>
  <c r="B23" i="1" s="1"/>
  <c r="E25" i="1" s="1"/>
  <c r="F25" i="1" s="1"/>
  <c r="F56" i="1" s="1"/>
</calcChain>
</file>

<file path=xl/comments1.xml><?xml version="1.0" encoding="utf-8"?>
<comments xmlns="http://schemas.openxmlformats.org/spreadsheetml/2006/main">
  <authors>
    <author>ACOG</author>
    <author>drex</author>
    <author>Holly Massie</author>
  </authors>
  <commentList>
    <comment ref="A6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11 </t>
        </r>
        <r>
          <rPr>
            <sz val="8"/>
            <color indexed="81"/>
            <rFont val="Tahoma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13 </t>
        </r>
        <r>
          <rPr>
            <sz val="8"/>
            <color indexed="81"/>
            <rFont val="Tahoma"/>
            <family val="2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2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14</t>
        </r>
        <r>
          <rPr>
            <sz val="8"/>
            <color indexed="81"/>
            <rFont val="Tahoma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6" authorId="0" shapeId="0">
      <text>
        <r>
          <rPr>
            <sz val="8"/>
            <color indexed="81"/>
            <rFont val="Tahoma"/>
          </rPr>
          <t xml:space="preserve">See Page 17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8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3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20</t>
        </r>
        <r>
          <rPr>
            <sz val="8"/>
            <color indexed="81"/>
            <rFont val="Tahoma"/>
            <family val="2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8" authorId="1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28 </t>
        </r>
        <r>
          <rPr>
            <sz val="8"/>
            <color indexed="81"/>
            <rFont val="Tahoma"/>
            <family val="2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6" authorId="2" shapeId="0">
      <text>
        <r>
          <rPr>
            <b/>
            <sz val="9"/>
            <color indexed="81"/>
            <rFont val="Tahoma"/>
            <charset val="1"/>
          </rPr>
          <t>Holly Massie: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i/>
            <sz val="8"/>
            <color indexed="81"/>
            <rFont val="Tahoma"/>
            <family val="2"/>
          </rPr>
          <t xml:space="preserve">See </t>
        </r>
        <r>
          <rPr>
            <b/>
            <i/>
            <sz val="8"/>
            <color indexed="81"/>
            <rFont val="Tahoma"/>
            <family val="2"/>
          </rPr>
          <t>Page 21</t>
        </r>
        <r>
          <rPr>
            <i/>
            <sz val="8"/>
            <color indexed="81"/>
            <rFont val="Tahoma"/>
            <family val="2"/>
          </rPr>
          <t xml:space="preserve"> of Criteria and Process for Evaluation of Surface Transportation Program Urbanized Area (STP-UZA) Projects</t>
        </r>
      </text>
    </comment>
    <comment ref="A50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ACOG</author>
    <author>Holly Massie</author>
    <author>drex</author>
  </authors>
  <commentList>
    <comment ref="A6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11 </t>
        </r>
        <r>
          <rPr>
            <sz val="8"/>
            <color indexed="81"/>
            <rFont val="Tahoma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13 </t>
        </r>
        <r>
          <rPr>
            <sz val="8"/>
            <color indexed="81"/>
            <rFont val="Tahoma"/>
            <family val="2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6" authorId="0" shapeId="0">
      <text>
        <r>
          <rPr>
            <sz val="8"/>
            <color indexed="81"/>
            <rFont val="Tahoma"/>
          </rPr>
          <t xml:space="preserve">See Page 17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8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3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20</t>
        </r>
        <r>
          <rPr>
            <sz val="8"/>
            <color indexed="81"/>
            <rFont val="Tahoma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8" authorId="1" shapeId="0">
      <text>
        <r>
          <rPr>
            <b/>
            <sz val="9"/>
            <color indexed="81"/>
            <rFont val="Tahoma"/>
            <family val="2"/>
          </rPr>
          <t>Holly Massie: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See </t>
        </r>
        <r>
          <rPr>
            <b/>
            <i/>
            <sz val="9"/>
            <color indexed="81"/>
            <rFont val="Tahoma"/>
            <family val="2"/>
          </rPr>
          <t>Page 21</t>
        </r>
        <r>
          <rPr>
            <i/>
            <sz val="9"/>
            <color indexed="81"/>
            <rFont val="Tahoma"/>
            <family val="2"/>
          </rPr>
          <t xml:space="preserve"> of Criteria and Process for Evaluation of Surface Transportation Program Urbanized Area (STP-UZA) Projects</t>
        </r>
      </text>
    </comment>
    <comment ref="A43" authorId="2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28 </t>
        </r>
        <r>
          <rPr>
            <sz val="8"/>
            <color indexed="81"/>
            <rFont val="Tahoma"/>
            <family val="2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0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Doug Rex</author>
    <author>ACOG</author>
  </authors>
  <commentList>
    <comment ref="A15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21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0" authorId="1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6" authorId="1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28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42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14</t>
        </r>
        <r>
          <rPr>
            <sz val="8"/>
            <color indexed="81"/>
            <rFont val="Tahoma"/>
            <family val="2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45" authorId="1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Pages 29 &amp; 33</t>
        </r>
        <r>
          <rPr>
            <sz val="8"/>
            <color indexed="81"/>
            <rFont val="Tahoma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ACOG</author>
    <author>Doug Rex</author>
  </authors>
  <commentList>
    <comment ref="A6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11 </t>
        </r>
        <r>
          <rPr>
            <sz val="8"/>
            <color indexed="81"/>
            <rFont val="Tahoma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13 </t>
        </r>
        <r>
          <rPr>
            <sz val="8"/>
            <color indexed="81"/>
            <rFont val="Tahoma"/>
            <family val="2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2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14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6" authorId="0" shapeId="0">
      <text>
        <r>
          <rPr>
            <sz val="8"/>
            <color indexed="81"/>
            <rFont val="Tahoma"/>
          </rPr>
          <t xml:space="preserve">See Page 17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8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20</t>
        </r>
        <r>
          <rPr>
            <sz val="8"/>
            <color indexed="81"/>
            <rFont val="Tahoma"/>
            <family val="2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3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B38" authorId="1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21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43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ACOG</author>
    <author>Doug Rex</author>
    <author>drex</author>
  </authors>
  <commentList>
    <comment ref="A6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11 </t>
        </r>
        <r>
          <rPr>
            <sz val="8"/>
            <color indexed="81"/>
            <rFont val="Tahoma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13 </t>
        </r>
        <r>
          <rPr>
            <sz val="8"/>
            <color indexed="81"/>
            <rFont val="Tahoma"/>
            <family val="2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2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14</t>
        </r>
        <r>
          <rPr>
            <sz val="8"/>
            <color indexed="81"/>
            <rFont val="Tahoma"/>
          </rPr>
          <t xml:space="preserve"> of </t>
        </r>
        <r>
          <rPr>
            <i/>
            <sz val="8"/>
            <color indexed="81"/>
            <rFont val="Tahoma"/>
            <family val="2"/>
          </rPr>
          <t xml:space="preserve">Criteria and Process for Evaluation of Surface Transportation Program Urbanized Area (STP-UZA) Projects
</t>
        </r>
      </text>
    </comment>
    <comment ref="A16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B21" authorId="1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21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5" authorId="2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28</t>
        </r>
        <r>
          <rPr>
            <sz val="8"/>
            <color indexed="81"/>
            <rFont val="Tahoma"/>
            <family val="2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3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ACOG</author>
    <author>drex</author>
    <author>Holly Massie</author>
    <author>Doug Rex</author>
  </authors>
  <commentList>
    <comment ref="A6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11 </t>
        </r>
        <r>
          <rPr>
            <sz val="8"/>
            <color indexed="81"/>
            <rFont val="Tahoma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13 </t>
        </r>
        <r>
          <rPr>
            <sz val="8"/>
            <color indexed="81"/>
            <rFont val="Tahoma"/>
            <family val="2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2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14</t>
        </r>
        <r>
          <rPr>
            <sz val="8"/>
            <color indexed="81"/>
            <rFont val="Tahoma"/>
          </rPr>
          <t xml:space="preserve"> of </t>
        </r>
        <r>
          <rPr>
            <i/>
            <sz val="8"/>
            <color indexed="81"/>
            <rFont val="Tahoma"/>
            <family val="2"/>
          </rPr>
          <t xml:space="preserve">Criteria and Process for Evaluation of Surface Transportation Program Urbanized Area (STP-UZA) Projects
</t>
        </r>
        <r>
          <rPr>
            <sz val="8"/>
            <color indexed="81"/>
            <rFont val="Tahoma"/>
          </rPr>
          <t xml:space="preserve">
</t>
        </r>
      </text>
    </comment>
    <comment ref="A16" authorId="0" shapeId="0">
      <text>
        <r>
          <rPr>
            <sz val="8"/>
            <color indexed="81"/>
            <rFont val="Tahoma"/>
          </rPr>
          <t xml:space="preserve">See Page 17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8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20</t>
        </r>
        <r>
          <rPr>
            <sz val="8"/>
            <color indexed="81"/>
            <rFont val="Tahoma"/>
            <family val="2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3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8" authorId="1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  <charset val="1"/>
          </rPr>
          <t xml:space="preserve"> Page 23 </t>
        </r>
        <r>
          <rPr>
            <sz val="8"/>
            <color indexed="81"/>
            <rFont val="Tahoma"/>
            <family val="2"/>
          </rPr>
          <t>of</t>
        </r>
        <r>
          <rPr>
            <b/>
            <sz val="8"/>
            <color indexed="81"/>
            <rFont val="Tahoma"/>
            <charset val="1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b/>
            <sz val="8"/>
            <color indexed="81"/>
            <rFont val="Tahoma"/>
            <charset val="1"/>
          </rPr>
          <t xml:space="preserve">
</t>
        </r>
      </text>
    </comment>
    <comment ref="A43" authorId="2" shapeId="0">
      <text>
        <r>
          <rPr>
            <i/>
            <sz val="8"/>
            <color indexed="81"/>
            <rFont val="Tahoma"/>
            <family val="2"/>
          </rPr>
          <t xml:space="preserve">See </t>
        </r>
        <r>
          <rPr>
            <b/>
            <i/>
            <sz val="8"/>
            <color indexed="81"/>
            <rFont val="Tahoma"/>
            <family val="2"/>
          </rPr>
          <t>Page 24</t>
        </r>
        <r>
          <rPr>
            <i/>
            <sz val="8"/>
            <color indexed="81"/>
            <rFont val="Tahoma"/>
            <family val="2"/>
          </rPr>
          <t xml:space="preserve"> of Criteria and Process for Evaluation of Surface Transportation Program Urbanized Area (STP-UZA) Projects</t>
        </r>
      </text>
    </comment>
    <comment ref="A48" authorId="2" shapeId="0">
      <text>
        <r>
          <rPr>
            <i/>
            <sz val="8"/>
            <color indexed="81"/>
            <rFont val="Tahoma"/>
            <family val="2"/>
          </rPr>
          <t xml:space="preserve">See </t>
        </r>
        <r>
          <rPr>
            <b/>
            <i/>
            <sz val="8"/>
            <color indexed="81"/>
            <rFont val="Tahoma"/>
            <family val="2"/>
          </rPr>
          <t>Page 25</t>
        </r>
        <r>
          <rPr>
            <i/>
            <sz val="8"/>
            <color indexed="81"/>
            <rFont val="Tahoma"/>
            <family val="2"/>
          </rPr>
          <t xml:space="preserve"> of Criteria and Process for Evaluation of Surface Transportation Program Urbanized Area (STP-UZA) Projects</t>
        </r>
      </text>
    </comment>
    <comment ref="A53" authorId="3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21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58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ACOG</author>
    <author>Doug Rex</author>
  </authors>
  <commentList>
    <comment ref="A6" authorId="0" shapeId="0">
      <text>
        <r>
          <rPr>
            <sz val="8"/>
            <color indexed="81"/>
            <rFont val="Tahoma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26 </t>
        </r>
        <r>
          <rPr>
            <sz val="8"/>
            <color indexed="81"/>
            <rFont val="Tahoma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 xml:space="preserve">Page 26 </t>
        </r>
        <r>
          <rPr>
            <sz val="8"/>
            <color indexed="81"/>
            <rFont val="Tahoma"/>
            <family val="2"/>
          </rPr>
          <t>of</t>
        </r>
        <r>
          <rPr>
            <i/>
            <sz val="8"/>
            <color indexed="81"/>
            <rFont val="Tahoma"/>
            <family val="2"/>
          </rPr>
          <t xml:space="preserve"> 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2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14</t>
        </r>
        <r>
          <rPr>
            <sz val="8"/>
            <color indexed="81"/>
            <rFont val="Tahoma"/>
          </rPr>
          <t xml:space="preserve"> of </t>
        </r>
        <r>
          <rPr>
            <i/>
            <sz val="8"/>
            <color indexed="81"/>
            <rFont val="Tahoma"/>
            <family val="2"/>
          </rPr>
          <t xml:space="preserve">Criteria and Process for Evaluation of Surface Transportation Program Urbanized Area (STP-UZA) Projects
</t>
        </r>
      </text>
    </comment>
    <comment ref="A16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B21" authorId="1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21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6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ACOG</author>
    <author>Doug Rex</author>
  </authors>
  <commentList>
    <comment ref="A6" authorId="0" shapeId="0">
      <text>
        <r>
          <rPr>
            <sz val="8"/>
            <color indexed="81"/>
            <rFont val="Tahoma"/>
          </rPr>
          <t xml:space="preserve">See Page 17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18" authorId="0" shapeId="0">
      <text>
        <r>
          <rPr>
            <sz val="8"/>
            <color indexed="81"/>
            <rFont val="Tahoma"/>
          </rPr>
          <t>See</t>
        </r>
        <r>
          <rPr>
            <b/>
            <sz val="8"/>
            <color indexed="81"/>
            <rFont val="Tahoma"/>
            <family val="2"/>
          </rPr>
          <t xml:space="preserve"> Page 19 </t>
        </r>
        <r>
          <rPr>
            <sz val="8"/>
            <color indexed="81"/>
            <rFont val="Tahoma"/>
          </rPr>
          <t xml:space="preserve">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23" authorId="0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20</t>
        </r>
        <r>
          <rPr>
            <sz val="8"/>
            <color indexed="81"/>
            <rFont val="Tahoma"/>
            <family val="2"/>
          </rPr>
          <t xml:space="preserve"> of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B28" authorId="1" shapeId="0">
      <text>
        <r>
          <rPr>
            <sz val="8"/>
            <color indexed="81"/>
            <rFont val="Tahoma"/>
            <family val="2"/>
          </rPr>
          <t xml:space="preserve">See </t>
        </r>
        <r>
          <rPr>
            <b/>
            <sz val="8"/>
            <color indexed="81"/>
            <rFont val="Tahoma"/>
            <family val="2"/>
          </rPr>
          <t>Page 21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  <comment ref="A32" authorId="0" shapeId="0">
      <text>
        <r>
          <rPr>
            <sz val="8"/>
            <color indexed="81"/>
            <rFont val="Tahoma"/>
            <family val="2"/>
          </rPr>
          <t>See</t>
        </r>
        <r>
          <rPr>
            <b/>
            <sz val="8"/>
            <color indexed="81"/>
            <rFont val="Tahoma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Page 22</t>
        </r>
        <r>
          <rPr>
            <sz val="8"/>
            <color indexed="81"/>
            <rFont val="Tahoma"/>
            <family val="2"/>
          </rPr>
          <t xml:space="preserve"> of</t>
        </r>
        <r>
          <rPr>
            <b/>
            <sz val="8"/>
            <color indexed="81"/>
            <rFont val="Tahoma"/>
          </rPr>
          <t xml:space="preserve"> </t>
        </r>
        <r>
          <rPr>
            <i/>
            <sz val="8"/>
            <color indexed="81"/>
            <rFont val="Tahoma"/>
            <family val="2"/>
          </rPr>
          <t>Criteria and Process for Evaluation of Surface Transportation Program Urbanized Area (STP-UZA) Projects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<sst xmlns="http://schemas.openxmlformats.org/spreadsheetml/2006/main" count="499" uniqueCount="120">
  <si>
    <t>ADT</t>
  </si>
  <si>
    <t>Definition</t>
  </si>
  <si>
    <t>Rating Points</t>
  </si>
  <si>
    <t>V/C Ratio</t>
  </si>
  <si>
    <t>Capacity</t>
  </si>
  <si>
    <t>v/c ratio</t>
  </si>
  <si>
    <t>Accident Severity</t>
  </si>
  <si>
    <t># of Accidents</t>
  </si>
  <si>
    <t>Severity Index</t>
  </si>
  <si>
    <t xml:space="preserve">prop. damage = </t>
  </si>
  <si>
    <t xml:space="preserve">24hr intersectional </t>
  </si>
  <si>
    <t xml:space="preserve">death\injruy = </t>
  </si>
  <si>
    <t xml:space="preserve">entering volumes = </t>
  </si>
  <si>
    <t xml:space="preserve">Mid Block VMT = </t>
  </si>
  <si>
    <t xml:space="preserve">Severity Rate = </t>
  </si>
  <si>
    <t>Accident Rating</t>
  </si>
  <si>
    <t>Annual Before Accident Cost</t>
  </si>
  <si>
    <t xml:space="preserve"># of Fatality x </t>
  </si>
  <si>
    <t xml:space="preserve"># of Injuries x </t>
  </si>
  <si>
    <t xml:space="preserve"> = </t>
  </si>
  <si>
    <t xml:space="preserve"># of Property x  </t>
  </si>
  <si>
    <t>Damage Only</t>
  </si>
  <si>
    <t>Annual After Accident Cost</t>
  </si>
  <si>
    <t>Traffic Volume Factor</t>
  </si>
  <si>
    <t>Capital Recovery Factor</t>
  </si>
  <si>
    <t>Construction Cost</t>
  </si>
  <si>
    <t>Safety Improvement Index</t>
  </si>
  <si>
    <t>Score</t>
  </si>
  <si>
    <t>Actual Points</t>
  </si>
  <si>
    <t xml:space="preserve">Accident Rating = </t>
  </si>
  <si>
    <t>Air Quality</t>
  </si>
  <si>
    <t>Fair</t>
  </si>
  <si>
    <t>Poor</t>
  </si>
  <si>
    <t>Surface Condition</t>
  </si>
  <si>
    <t>High</t>
  </si>
  <si>
    <t>Project Readiness</t>
  </si>
  <si>
    <t>Moderate</t>
  </si>
  <si>
    <t>Total Points</t>
  </si>
  <si>
    <t>Functional Classification</t>
  </si>
  <si>
    <t>Principal Arterial</t>
  </si>
  <si>
    <t>Minor Arterial</t>
  </si>
  <si>
    <t>Collector</t>
  </si>
  <si>
    <t>Very Good</t>
  </si>
  <si>
    <t>Good</t>
  </si>
  <si>
    <t>Received Clearance for Letting from ROW Division</t>
  </si>
  <si>
    <t>Submitted Preliminary Plans and updated costs to ODOT</t>
  </si>
  <si>
    <t>Submitted ROW Plans/received environmental clearance</t>
  </si>
  <si>
    <t>Plan-in-hand meeting has been held</t>
  </si>
  <si>
    <t>Entity has submitted plan-in-hand plans to ODOT</t>
  </si>
  <si>
    <t>Local</t>
  </si>
  <si>
    <t>Neutral</t>
  </si>
  <si>
    <t>Low</t>
  </si>
  <si>
    <t>Install warning/guide signs</t>
  </si>
  <si>
    <t>Install traffic signals</t>
  </si>
  <si>
    <t>Upgrade traffic signals</t>
  </si>
  <si>
    <t>Add left turn signal phase</t>
  </si>
  <si>
    <t>Install pedestrian signal</t>
  </si>
  <si>
    <t>Install stop signs</t>
  </si>
  <si>
    <t>Install pavement markings/edge markings</t>
  </si>
  <si>
    <t>Install pedestrian crosswalk/schoolzone markings</t>
  </si>
  <si>
    <t>Install raised reflective pavement markers</t>
  </si>
  <si>
    <t>Install gaurdrail or concrete traffic barrier</t>
  </si>
  <si>
    <t>Install impact attenuator</t>
  </si>
  <si>
    <t>Safety treat utility poles/Install breakaway poles</t>
  </si>
  <si>
    <t>Traffic (safety) lighting</t>
  </si>
  <si>
    <t>Priority control systems at signalized intersections</t>
  </si>
  <si>
    <t>Improvement Type</t>
  </si>
  <si>
    <t>Reduction Factor</t>
  </si>
  <si>
    <t>ADT Growth Factor</t>
  </si>
  <si>
    <t>Signal timing and interconnection</t>
  </si>
  <si>
    <t xml:space="preserve">Safety Improvement Index = </t>
  </si>
  <si>
    <t>Resurfacing, Reconstruction, Rehabilitation</t>
  </si>
  <si>
    <t>Intersection Improvements</t>
  </si>
  <si>
    <t>Widening</t>
  </si>
  <si>
    <t>STP-UZA Safety (100%)</t>
  </si>
  <si>
    <t>New Construction</t>
  </si>
  <si>
    <t>Bridge Reconstruction and Rehabilitation</t>
  </si>
  <si>
    <t>Final Plan Approval by ODOT</t>
  </si>
  <si>
    <t>CRF</t>
  </si>
  <si>
    <t xml:space="preserve">Current Capacity = </t>
  </si>
  <si>
    <t>Pick Yes / No ?</t>
  </si>
  <si>
    <t>Is the Project in a School Zone?</t>
  </si>
  <si>
    <t>School Zone?</t>
  </si>
  <si>
    <t>Current ADT =</t>
  </si>
  <si>
    <t>Length (mi.) =</t>
  </si>
  <si>
    <t>CMP Congestion Corridor</t>
  </si>
  <si>
    <t>Carpool/Vanpool Administration, Other</t>
  </si>
  <si>
    <t>Included in Comp Plan</t>
  </si>
  <si>
    <t>No connection to other Facilities</t>
  </si>
  <si>
    <t>Connects to other Facilities</t>
  </si>
  <si>
    <t>Nonconstruction Project</t>
  </si>
  <si>
    <t>Comprehensive Trail Planning</t>
  </si>
  <si>
    <t>Intermodal Connectivity</t>
  </si>
  <si>
    <t>Connects to other Modes</t>
  </si>
  <si>
    <t>Within 1/4 mi. of other Modes</t>
  </si>
  <si>
    <t>Within 1/2 mi. of other Modes</t>
  </si>
  <si>
    <t>Not a congestion corridor</t>
  </si>
  <si>
    <t>No</t>
  </si>
  <si>
    <t>Multimodal Features</t>
  </si>
  <si>
    <t>Yes</t>
  </si>
  <si>
    <t>Project Includes:</t>
  </si>
  <si>
    <t>Sidewalks?</t>
  </si>
  <si>
    <t>No sidewalk</t>
  </si>
  <si>
    <t>Both sides</t>
  </si>
  <si>
    <t xml:space="preserve">One side </t>
  </si>
  <si>
    <t>Bike lane or bike path?</t>
  </si>
  <si>
    <t>Project has been programmed (JP number from ODOT)</t>
  </si>
  <si>
    <t>Project has not been programmed</t>
  </si>
  <si>
    <t>Waterway Adequacy</t>
  </si>
  <si>
    <t>Congestion Corridor</t>
  </si>
  <si>
    <t>Rating of 0,1,2</t>
  </si>
  <si>
    <t>Rating of 3,4,5</t>
  </si>
  <si>
    <t>Rating of 6,7,8</t>
  </si>
  <si>
    <t>Rating of 9</t>
  </si>
  <si>
    <t>Project Location/Name</t>
  </si>
  <si>
    <t>Structural Deficiency</t>
  </si>
  <si>
    <t>Bridge is considered structurally deficient</t>
  </si>
  <si>
    <t>Bridge is NOT considered structurally deficient</t>
  </si>
  <si>
    <t>Independent Bicycle and Pedestrian Projects</t>
  </si>
  <si>
    <t>Bridge Sufficiency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</si>
</sst>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$&quot;#,##0"/>
  </numFmts>
  <fonts count="25" x14ac:knownFonts="1">
    <font>
      <sz val="10"/>
      <name val="Arial"/>
    </font>
    <font>
      <b/>
      <sz val="10"/>
      <name val="Arial"/>
    </font>
    <font>
      <sz val="10"/>
      <name val="Arial"/>
    </font>
    <font>
      <u/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i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u/>
      <sz val="14"/>
      <name val="Arial"/>
      <family val="2"/>
    </font>
    <font>
      <u/>
      <sz val="10"/>
      <name val="Arial"/>
    </font>
    <font>
      <sz val="8"/>
      <name val="Arial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8"/>
      <color indexed="81"/>
      <name val="Tahoma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2" borderId="4" xfId="0" applyNumberFormat="1" applyFill="1" applyBorder="1" applyAlignment="1">
      <alignment horizontal="center"/>
    </xf>
    <xf numFmtId="0" fontId="4" fillId="0" borderId="0" xfId="0" applyFont="1"/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3" fillId="0" borderId="0" xfId="0" applyFont="1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8" xfId="0" applyFill="1" applyBorder="1"/>
    <xf numFmtId="0" fontId="10" fillId="0" borderId="9" xfId="0" applyFont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/>
    <xf numFmtId="0" fontId="3" fillId="0" borderId="1" xfId="0" applyFont="1" applyBorder="1"/>
    <xf numFmtId="165" fontId="0" fillId="3" borderId="7" xfId="0" applyNumberFormat="1" applyFill="1" applyBorder="1" applyAlignment="1">
      <alignment horizontal="center"/>
    </xf>
    <xf numFmtId="0" fontId="3" fillId="0" borderId="6" xfId="0" applyFont="1" applyBorder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3" borderId="7" xfId="0" applyNumberFormat="1" applyFill="1" applyBorder="1"/>
    <xf numFmtId="164" fontId="0" fillId="3" borderId="7" xfId="0" applyNumberForma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0" xfId="0" applyBorder="1" applyAlignment="1"/>
    <xf numFmtId="0" fontId="3" fillId="0" borderId="9" xfId="0" applyFont="1" applyBorder="1" applyAlignment="1">
      <alignment horizontal="center"/>
    </xf>
    <xf numFmtId="0" fontId="12" fillId="0" borderId="3" xfId="0" applyFont="1" applyBorder="1"/>
    <xf numFmtId="164" fontId="0" fillId="2" borderId="4" xfId="0" applyNumberFormat="1" applyFill="1" applyBorder="1"/>
    <xf numFmtId="0" fontId="3" fillId="0" borderId="0" xfId="0" applyFont="1" applyAlignment="1">
      <alignment horizontal="center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0" fillId="0" borderId="0" xfId="0" applyProtection="1">
      <protection locked="0"/>
    </xf>
    <xf numFmtId="0" fontId="0" fillId="4" borderId="7" xfId="0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165" fontId="0" fillId="4" borderId="0" xfId="0" applyNumberFormat="1" applyFill="1" applyBorder="1" applyProtection="1">
      <protection locked="0"/>
    </xf>
    <xf numFmtId="0" fontId="0" fillId="0" borderId="8" xfId="0" applyFill="1" applyBorder="1" applyProtection="1"/>
    <xf numFmtId="3" fontId="0" fillId="4" borderId="0" xfId="0" applyNumberFormat="1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/>
    </xf>
    <xf numFmtId="0" fontId="2" fillId="0" borderId="8" xfId="0" applyFont="1" applyFill="1" applyBorder="1" applyProtection="1"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5" borderId="7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2" fillId="0" borderId="6" xfId="0" applyFont="1" applyBorder="1"/>
    <xf numFmtId="0" fontId="0" fillId="6" borderId="0" xfId="0" applyFill="1" applyBorder="1" applyAlignment="1" applyProtection="1">
      <alignment horizontal="center"/>
      <protection locked="0"/>
    </xf>
    <xf numFmtId="0" fontId="12" fillId="0" borderId="6" xfId="0" applyFont="1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6" borderId="3" xfId="0" applyFill="1" applyBorder="1" applyProtection="1">
      <protection locked="0"/>
    </xf>
    <xf numFmtId="0" fontId="12" fillId="0" borderId="3" xfId="0" applyFont="1" applyBorder="1" applyAlignment="1">
      <alignment horizontal="center"/>
    </xf>
    <xf numFmtId="0" fontId="0" fillId="4" borderId="8" xfId="0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0" fillId="4" borderId="11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topLeftCell="A28" zoomScale="90" zoomScaleNormal="90" workbookViewId="0">
      <selection activeCell="F40" sqref="F40"/>
    </sheetView>
  </sheetViews>
  <sheetFormatPr defaultRowHeight="12.5" x14ac:dyDescent="0.25"/>
  <cols>
    <col min="1" max="1" width="23.36328125" customWidth="1"/>
    <col min="2" max="2" width="12.453125" customWidth="1"/>
    <col min="3" max="3" width="13" customWidth="1"/>
    <col min="4" max="4" width="15.08984375" customWidth="1"/>
    <col min="5" max="5" width="15.453125" customWidth="1"/>
    <col min="6" max="6" width="12.54296875" customWidth="1"/>
    <col min="7" max="7" width="12" customWidth="1"/>
    <col min="9" max="10" width="9.08984375" hidden="1" customWidth="1"/>
    <col min="11" max="11" width="9.08984375" customWidth="1"/>
  </cols>
  <sheetData>
    <row r="1" spans="1:10" ht="18" x14ac:dyDescent="0.4">
      <c r="A1" s="86" t="s">
        <v>73</v>
      </c>
      <c r="B1" s="86"/>
      <c r="C1" s="86"/>
      <c r="D1" s="86"/>
      <c r="E1" s="86"/>
      <c r="F1" s="86"/>
      <c r="G1" s="86"/>
    </row>
    <row r="2" spans="1:10" ht="13.75" customHeight="1" x14ac:dyDescent="0.4">
      <c r="A2" s="77"/>
      <c r="B2" s="77"/>
      <c r="C2" s="77"/>
      <c r="D2" s="77"/>
      <c r="E2" s="77"/>
      <c r="F2" s="77"/>
      <c r="G2" s="77"/>
    </row>
    <row r="3" spans="1:10" ht="18.5" thickBot="1" x14ac:dyDescent="0.45">
      <c r="A3" s="31" t="s">
        <v>114</v>
      </c>
      <c r="B3" s="77"/>
      <c r="C3" s="77"/>
      <c r="D3" s="77"/>
      <c r="E3" s="77"/>
      <c r="F3" s="77"/>
      <c r="G3" s="77"/>
    </row>
    <row r="4" spans="1:10" ht="18.5" thickBot="1" x14ac:dyDescent="0.45">
      <c r="A4" s="87"/>
      <c r="B4" s="88"/>
      <c r="C4" s="88"/>
      <c r="D4" s="88"/>
      <c r="E4" s="88"/>
      <c r="F4" s="89"/>
      <c r="G4" s="77"/>
    </row>
    <row r="6" spans="1:10" ht="13.5" thickBot="1" x14ac:dyDescent="0.35">
      <c r="A6" s="31" t="s">
        <v>0</v>
      </c>
    </row>
    <row r="7" spans="1:10" x14ac:dyDescent="0.25">
      <c r="A7" s="1" t="s">
        <v>1</v>
      </c>
      <c r="B7" s="3" t="s">
        <v>0</v>
      </c>
      <c r="C7" s="2"/>
      <c r="D7" s="2"/>
      <c r="E7" s="3" t="s">
        <v>28</v>
      </c>
      <c r="F7" s="24" t="s">
        <v>27</v>
      </c>
      <c r="J7" t="s">
        <v>39</v>
      </c>
    </row>
    <row r="8" spans="1:10" ht="13" thickBot="1" x14ac:dyDescent="0.3">
      <c r="A8" s="53" t="s">
        <v>40</v>
      </c>
      <c r="B8" s="54">
        <v>7000</v>
      </c>
      <c r="C8" s="5">
        <f>IF(A8="Principal Arterial",20000, IF(A8="Minor Arterial",12000,IF(A8="Collector",7000,IF(A8="Local",7000))))</f>
        <v>12000</v>
      </c>
      <c r="D8" s="5">
        <v>3</v>
      </c>
      <c r="E8" s="25">
        <f>IF(B8&gt;=C8,3,IF(B8&lt;C8,B8/C8*D8))</f>
        <v>1.75</v>
      </c>
      <c r="F8" s="8">
        <f>E8*3</f>
        <v>5.25</v>
      </c>
      <c r="J8" t="s">
        <v>40</v>
      </c>
    </row>
    <row r="9" spans="1:10" x14ac:dyDescent="0.25">
      <c r="J9" t="s">
        <v>41</v>
      </c>
    </row>
    <row r="11" spans="1:10" ht="13.5" thickBot="1" x14ac:dyDescent="0.35">
      <c r="A11" s="7" t="s">
        <v>3</v>
      </c>
    </row>
    <row r="12" spans="1:10" x14ac:dyDescent="0.25">
      <c r="A12" s="1" t="s">
        <v>4</v>
      </c>
      <c r="B12" s="3" t="s">
        <v>3</v>
      </c>
      <c r="C12" s="3" t="s">
        <v>28</v>
      </c>
      <c r="D12" s="24" t="s">
        <v>2</v>
      </c>
    </row>
    <row r="13" spans="1:10" ht="13" thickBot="1" x14ac:dyDescent="0.3">
      <c r="A13" s="53">
        <v>10000</v>
      </c>
      <c r="B13" s="10">
        <f>B8/A13</f>
        <v>0.7</v>
      </c>
      <c r="C13" s="25">
        <f>IF(B13&gt;=1.3,3,IF(B13&lt;0.49,0,3-((1.3-B13)*100*0.037)))</f>
        <v>0.7799999999999998</v>
      </c>
      <c r="D13" s="8">
        <f>C13*3</f>
        <v>2.3399999999999994</v>
      </c>
    </row>
    <row r="14" spans="1:10" x14ac:dyDescent="0.25">
      <c r="A14" s="17"/>
      <c r="B14" s="17"/>
      <c r="C14" s="17"/>
      <c r="D14" s="23"/>
      <c r="E14" s="11"/>
    </row>
    <row r="16" spans="1:10" ht="13.5" thickBot="1" x14ac:dyDescent="0.35">
      <c r="A16" s="9" t="s">
        <v>6</v>
      </c>
      <c r="B16" s="6"/>
      <c r="C16" s="6"/>
    </row>
    <row r="17" spans="1:6" x14ac:dyDescent="0.25">
      <c r="A17" s="13"/>
      <c r="B17" s="3" t="s">
        <v>7</v>
      </c>
      <c r="C17" s="3" t="s">
        <v>8</v>
      </c>
      <c r="D17" s="14"/>
      <c r="E17" s="14"/>
      <c r="F17" s="15"/>
    </row>
    <row r="18" spans="1:6" x14ac:dyDescent="0.25">
      <c r="A18" s="16" t="s">
        <v>9</v>
      </c>
      <c r="B18" s="55">
        <v>15</v>
      </c>
      <c r="C18" s="4">
        <f>2*B18</f>
        <v>30</v>
      </c>
      <c r="E18" s="48" t="s">
        <v>13</v>
      </c>
      <c r="F18" s="37">
        <f>B8</f>
        <v>7000</v>
      </c>
    </row>
    <row r="19" spans="1:6" x14ac:dyDescent="0.25">
      <c r="A19" s="16" t="s">
        <v>11</v>
      </c>
      <c r="B19" s="55">
        <v>10</v>
      </c>
      <c r="C19" s="19">
        <f>4*B19</f>
        <v>40</v>
      </c>
      <c r="D19" s="17"/>
      <c r="E19" s="17"/>
      <c r="F19" s="18"/>
    </row>
    <row r="20" spans="1:6" x14ac:dyDescent="0.25">
      <c r="A20" s="16"/>
      <c r="B20" s="17"/>
      <c r="C20" s="23">
        <f>SUM(C18:C19)/3</f>
        <v>23.333333333333332</v>
      </c>
      <c r="E20" s="17" t="s">
        <v>84</v>
      </c>
      <c r="F20" s="56">
        <v>1</v>
      </c>
    </row>
    <row r="21" spans="1:6" x14ac:dyDescent="0.25">
      <c r="A21" s="16"/>
      <c r="B21" s="17"/>
      <c r="C21" s="17"/>
      <c r="D21" s="17"/>
      <c r="E21" s="17"/>
      <c r="F21" s="18"/>
    </row>
    <row r="22" spans="1:6" x14ac:dyDescent="0.25">
      <c r="A22" s="16"/>
      <c r="B22" s="17"/>
      <c r="C22" s="17"/>
      <c r="D22" s="17"/>
      <c r="E22" s="17"/>
      <c r="F22" s="18"/>
    </row>
    <row r="23" spans="1:6" ht="13" x14ac:dyDescent="0.3">
      <c r="A23" s="16" t="s">
        <v>14</v>
      </c>
      <c r="B23" s="23">
        <f>C20*1000000/(365*(F18)*F20)</f>
        <v>9.1324200913242013</v>
      </c>
      <c r="C23" s="27"/>
      <c r="D23" s="17"/>
      <c r="E23" s="17"/>
      <c r="F23" s="18"/>
    </row>
    <row r="24" spans="1:6" x14ac:dyDescent="0.25">
      <c r="A24" s="16"/>
      <c r="B24" s="17"/>
      <c r="C24" s="17"/>
      <c r="D24" s="17"/>
      <c r="E24" s="19" t="s">
        <v>28</v>
      </c>
      <c r="F24" s="29" t="s">
        <v>2</v>
      </c>
    </row>
    <row r="25" spans="1:6" ht="13" thickBot="1" x14ac:dyDescent="0.3">
      <c r="A25" s="20"/>
      <c r="B25" s="21"/>
      <c r="C25" s="21"/>
      <c r="D25" s="5" t="s">
        <v>15</v>
      </c>
      <c r="E25" s="25">
        <f>IF(B23&gt;=12,3,IF(B23&lt;3,0,3-((12-B23)*10*0.033)))</f>
        <v>2.0536986301369864</v>
      </c>
      <c r="F25" s="8">
        <f>E25*3</f>
        <v>6.1610958904109587</v>
      </c>
    </row>
    <row r="28" spans="1:6" ht="13.5" thickBot="1" x14ac:dyDescent="0.35">
      <c r="A28" s="9" t="s">
        <v>30</v>
      </c>
    </row>
    <row r="29" spans="1:6" x14ac:dyDescent="0.25">
      <c r="A29" s="13"/>
      <c r="B29" s="3" t="s">
        <v>28</v>
      </c>
      <c r="C29" s="24" t="s">
        <v>27</v>
      </c>
    </row>
    <row r="30" spans="1:6" ht="13" thickBot="1" x14ac:dyDescent="0.3">
      <c r="A30" s="62" t="s">
        <v>51</v>
      </c>
      <c r="B30" s="5">
        <f>IF(A30="Moderate",2,IF(A30="Low",1,0))</f>
        <v>1</v>
      </c>
      <c r="C30" s="30">
        <f>B30*2</f>
        <v>2</v>
      </c>
    </row>
    <row r="33" spans="1:9" ht="13.5" thickBot="1" x14ac:dyDescent="0.35">
      <c r="A33" s="9" t="s">
        <v>33</v>
      </c>
      <c r="I33" t="s">
        <v>42</v>
      </c>
    </row>
    <row r="34" spans="1:9" x14ac:dyDescent="0.25">
      <c r="A34" s="13"/>
      <c r="B34" s="3" t="s">
        <v>28</v>
      </c>
      <c r="C34" s="24" t="s">
        <v>27</v>
      </c>
      <c r="I34" t="s">
        <v>43</v>
      </c>
    </row>
    <row r="35" spans="1:9" ht="13" thickBot="1" x14ac:dyDescent="0.3">
      <c r="A35" s="57" t="s">
        <v>32</v>
      </c>
      <c r="B35" s="5">
        <f>IF(A35="Poor",2,IF(A35="Fair",1,0))</f>
        <v>2</v>
      </c>
      <c r="C35" s="30">
        <f>B35*1</f>
        <v>2</v>
      </c>
      <c r="I35" t="s">
        <v>31</v>
      </c>
    </row>
    <row r="36" spans="1:9" x14ac:dyDescent="0.25">
      <c r="I36" t="s">
        <v>32</v>
      </c>
    </row>
    <row r="38" spans="1:9" ht="13.5" thickBot="1" x14ac:dyDescent="0.35">
      <c r="A38" s="9" t="s">
        <v>98</v>
      </c>
      <c r="G38" s="17"/>
    </row>
    <row r="39" spans="1:9" x14ac:dyDescent="0.25">
      <c r="A39" s="40" t="s">
        <v>100</v>
      </c>
      <c r="B39" s="14"/>
      <c r="C39" s="3" t="s">
        <v>28</v>
      </c>
      <c r="D39" s="24" t="s">
        <v>27</v>
      </c>
      <c r="G39" s="17"/>
      <c r="I39" s="67" t="s">
        <v>103</v>
      </c>
    </row>
    <row r="40" spans="1:9" x14ac:dyDescent="0.25">
      <c r="A40" s="70" t="s">
        <v>105</v>
      </c>
      <c r="B40" s="71" t="s">
        <v>97</v>
      </c>
      <c r="C40" s="4">
        <f>IF(B40="Yes",1,IF(B40="No",0,0))</f>
        <v>0</v>
      </c>
      <c r="D40" s="68">
        <f>C40*3</f>
        <v>0</v>
      </c>
      <c r="E40" s="6"/>
      <c r="F40" s="6"/>
      <c r="G40" s="17"/>
      <c r="I40" s="67" t="s">
        <v>104</v>
      </c>
    </row>
    <row r="41" spans="1:9" x14ac:dyDescent="0.25">
      <c r="A41" s="72"/>
      <c r="B41" s="73"/>
      <c r="C41" s="22"/>
      <c r="D41" s="37"/>
      <c r="E41" s="6"/>
      <c r="F41" s="6"/>
      <c r="G41" s="17"/>
      <c r="I41" s="67" t="s">
        <v>102</v>
      </c>
    </row>
    <row r="42" spans="1:9" ht="13" thickBot="1" x14ac:dyDescent="0.3">
      <c r="A42" s="20" t="s">
        <v>101</v>
      </c>
      <c r="B42" s="74" t="s">
        <v>104</v>
      </c>
      <c r="C42" s="75">
        <f>IF(B42="Both sides",1,IF(B42="One side",0,IF(B42="No sidewalk",-1,0)))</f>
        <v>0</v>
      </c>
      <c r="D42" s="69">
        <f>C42*3</f>
        <v>0</v>
      </c>
      <c r="G42" s="17"/>
    </row>
    <row r="43" spans="1:9" x14ac:dyDescent="0.25">
      <c r="G43" s="17"/>
      <c r="I43" t="s">
        <v>97</v>
      </c>
    </row>
    <row r="44" spans="1:9" x14ac:dyDescent="0.25">
      <c r="G44" s="17"/>
      <c r="I44" t="s">
        <v>99</v>
      </c>
    </row>
    <row r="46" spans="1:9" ht="13.5" thickBot="1" x14ac:dyDescent="0.35">
      <c r="A46" s="9" t="s">
        <v>85</v>
      </c>
      <c r="I46" t="s">
        <v>96</v>
      </c>
    </row>
    <row r="47" spans="1:9" x14ac:dyDescent="0.25">
      <c r="A47" s="13"/>
      <c r="B47" s="3" t="s">
        <v>28</v>
      </c>
      <c r="C47" s="24" t="s">
        <v>27</v>
      </c>
      <c r="I47" t="s">
        <v>51</v>
      </c>
    </row>
    <row r="48" spans="1:9" ht="13" thickBot="1" x14ac:dyDescent="0.3">
      <c r="A48" s="57" t="s">
        <v>96</v>
      </c>
      <c r="B48" s="5">
        <f>IF(A48="Moderate",2,IF(A48="Low",1,0))</f>
        <v>0</v>
      </c>
      <c r="C48" s="30">
        <f>B48*1</f>
        <v>0</v>
      </c>
    </row>
    <row r="50" spans="1:9" ht="13.5" thickBot="1" x14ac:dyDescent="0.35">
      <c r="A50" s="9" t="s">
        <v>35</v>
      </c>
      <c r="I50" t="s">
        <v>44</v>
      </c>
    </row>
    <row r="51" spans="1:9" x14ac:dyDescent="0.25">
      <c r="A51" s="13"/>
      <c r="B51" s="14"/>
      <c r="C51" s="14"/>
      <c r="D51" s="14"/>
      <c r="E51" s="3" t="s">
        <v>28</v>
      </c>
      <c r="F51" s="24" t="s">
        <v>27</v>
      </c>
      <c r="I51" t="s">
        <v>45</v>
      </c>
    </row>
    <row r="52" spans="1:9" ht="13" thickBot="1" x14ac:dyDescent="0.3">
      <c r="A52" s="84" t="s">
        <v>45</v>
      </c>
      <c r="B52" s="85"/>
      <c r="C52" s="85"/>
      <c r="D52" s="85"/>
      <c r="E52" s="36">
        <f>IF(A52="Received Clearance for Letting from ROW Division",6,IF(A52="Submitted Preliminary Plans and updated costs to ODOT",5,IF(A52="Submitted ROW Plans/received environmental clearance",4,IF(A52="Plan-in-hand meeting has been held",3,IF(A52="Entity has submitted plan-in-hand plans to ODOT",2,IF(A52="Project has been programmed (JP number from ODOT)",1,0))))))</f>
        <v>5</v>
      </c>
      <c r="F52" s="30">
        <f>E52*3</f>
        <v>15</v>
      </c>
      <c r="I52" t="s">
        <v>46</v>
      </c>
    </row>
    <row r="53" spans="1:9" x14ac:dyDescent="0.25">
      <c r="I53" t="s">
        <v>47</v>
      </c>
    </row>
    <row r="54" spans="1:9" ht="13" thickBot="1" x14ac:dyDescent="0.3">
      <c r="I54" t="s">
        <v>48</v>
      </c>
    </row>
    <row r="55" spans="1:9" ht="13" x14ac:dyDescent="0.3">
      <c r="F55" s="33" t="s">
        <v>37</v>
      </c>
      <c r="I55" t="s">
        <v>106</v>
      </c>
    </row>
    <row r="56" spans="1:9" ht="13" thickBot="1" x14ac:dyDescent="0.3">
      <c r="F56" s="34">
        <f>F52+C35+C30+F25+D13+F8+C48+D40+D42</f>
        <v>32.751095890410959</v>
      </c>
      <c r="I56" t="s">
        <v>107</v>
      </c>
    </row>
  </sheetData>
  <sheetProtection selectLockedCells="1"/>
  <mergeCells count="3">
    <mergeCell ref="A52:D52"/>
    <mergeCell ref="A1:G1"/>
    <mergeCell ref="A4:F4"/>
  </mergeCells>
  <phoneticPr fontId="0" type="noConversion"/>
  <dataValidations count="6">
    <dataValidation type="list" allowBlank="1" showInputMessage="1" showErrorMessage="1" sqref="A52">
      <formula1>$I$50:$I$56</formula1>
    </dataValidation>
    <dataValidation type="list" allowBlank="1" showInputMessage="1" showErrorMessage="1" sqref="B40:B41">
      <formula1>$I$43:$I$44</formula1>
    </dataValidation>
    <dataValidation type="list" allowBlank="1" showInputMessage="1" showErrorMessage="1" sqref="B42">
      <formula1>$I$39:$I$41</formula1>
    </dataValidation>
    <dataValidation type="list" allowBlank="1" showInputMessage="1" showErrorMessage="1" sqref="A48">
      <formula1>$I$46:$I$47</formula1>
    </dataValidation>
    <dataValidation type="list" allowBlank="1" showInputMessage="1" showErrorMessage="1" sqref="A8">
      <formula1>$J$7:$J$9</formula1>
    </dataValidation>
    <dataValidation type="list" allowBlank="1" showInputMessage="1" showErrorMessage="1" sqref="A35">
      <formula1>$I$33:$I$36</formula1>
    </dataValidation>
  </dataValidations>
  <pageMargins left="0.5" right="0.27" top="0.75" bottom="0.5" header="0.5" footer="0.5"/>
  <pageSetup scale="95" orientation="portrait" r:id="rId1"/>
  <headerFooter alignWithMargins="0"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topLeftCell="A31" zoomScale="80" zoomScaleNormal="80" workbookViewId="0">
      <selection activeCell="G41" sqref="G41"/>
    </sheetView>
  </sheetViews>
  <sheetFormatPr defaultRowHeight="12.5" x14ac:dyDescent="0.25"/>
  <cols>
    <col min="1" max="1" width="28.453125" customWidth="1"/>
    <col min="2" max="2" width="12.453125" customWidth="1"/>
    <col min="3" max="3" width="13" customWidth="1"/>
    <col min="4" max="4" width="14.54296875" customWidth="1"/>
    <col min="5" max="5" width="17" customWidth="1"/>
    <col min="6" max="6" width="12" customWidth="1"/>
    <col min="7" max="7" width="11.90625" customWidth="1"/>
    <col min="8" max="8" width="9.08984375" customWidth="1"/>
    <col min="9" max="10" width="9.08984375" hidden="1" customWidth="1"/>
    <col min="11" max="11" width="9.08984375" customWidth="1"/>
  </cols>
  <sheetData>
    <row r="1" spans="1:10" ht="18" x14ac:dyDescent="0.4">
      <c r="A1" s="82" t="s">
        <v>72</v>
      </c>
      <c r="B1" s="82"/>
      <c r="C1" s="82"/>
      <c r="D1" s="82"/>
      <c r="E1" s="82"/>
      <c r="F1" s="82"/>
      <c r="G1" s="79"/>
    </row>
    <row r="2" spans="1:10" ht="18" x14ac:dyDescent="0.4">
      <c r="A2" s="77"/>
      <c r="B2" s="77"/>
      <c r="C2" s="77"/>
      <c r="D2" s="77"/>
      <c r="E2" s="77"/>
      <c r="F2" s="77"/>
      <c r="G2" s="77"/>
    </row>
    <row r="3" spans="1:10" ht="18.5" thickBot="1" x14ac:dyDescent="0.45">
      <c r="A3" s="31" t="s">
        <v>114</v>
      </c>
      <c r="B3" s="77"/>
      <c r="C3" s="77"/>
      <c r="D3" s="77"/>
      <c r="E3" s="77"/>
      <c r="F3" s="77"/>
      <c r="G3" s="77"/>
    </row>
    <row r="4" spans="1:10" ht="18.5" thickBot="1" x14ac:dyDescent="0.45">
      <c r="A4" s="87"/>
      <c r="B4" s="88"/>
      <c r="C4" s="88"/>
      <c r="D4" s="88"/>
      <c r="E4" s="88"/>
      <c r="F4" s="89"/>
      <c r="G4" s="77"/>
    </row>
    <row r="6" spans="1:10" ht="13.5" thickBot="1" x14ac:dyDescent="0.35">
      <c r="A6" s="31" t="s">
        <v>0</v>
      </c>
    </row>
    <row r="7" spans="1:10" x14ac:dyDescent="0.25">
      <c r="A7" s="1" t="s">
        <v>1</v>
      </c>
      <c r="B7" s="3" t="s">
        <v>0</v>
      </c>
      <c r="C7" s="2"/>
      <c r="D7" s="2"/>
      <c r="E7" s="3" t="s">
        <v>28</v>
      </c>
      <c r="F7" s="24" t="s">
        <v>27</v>
      </c>
    </row>
    <row r="8" spans="1:10" ht="13" thickBot="1" x14ac:dyDescent="0.3">
      <c r="A8" s="53" t="s">
        <v>39</v>
      </c>
      <c r="B8" s="54">
        <v>24388</v>
      </c>
      <c r="C8" s="5">
        <f>IF(A8="Principal Arterial",20000, IF(A8="Minor Arterial",12000,IF(A8="Collector",7000,IF(A8="Local",7000))))</f>
        <v>20000</v>
      </c>
      <c r="D8" s="5">
        <v>3</v>
      </c>
      <c r="E8" s="25">
        <f>IF(B8&gt;=C8,3,IF(B8&lt;C8,B8/C8*D8))</f>
        <v>3</v>
      </c>
      <c r="F8" s="8">
        <f>E8*2</f>
        <v>6</v>
      </c>
      <c r="J8" t="s">
        <v>39</v>
      </c>
    </row>
    <row r="9" spans="1:10" x14ac:dyDescent="0.25">
      <c r="J9" t="s">
        <v>40</v>
      </c>
    </row>
    <row r="10" spans="1:10" x14ac:dyDescent="0.25">
      <c r="J10" t="s">
        <v>41</v>
      </c>
    </row>
    <row r="11" spans="1:10" ht="13.5" thickBot="1" x14ac:dyDescent="0.35">
      <c r="A11" s="7" t="s">
        <v>3</v>
      </c>
    </row>
    <row r="12" spans="1:10" x14ac:dyDescent="0.25">
      <c r="A12" s="3" t="s">
        <v>5</v>
      </c>
      <c r="B12" s="3" t="s">
        <v>2</v>
      </c>
      <c r="C12" s="47" t="s">
        <v>27</v>
      </c>
      <c r="E12" s="58"/>
    </row>
    <row r="13" spans="1:10" ht="13" thickBot="1" x14ac:dyDescent="0.3">
      <c r="A13" s="54">
        <v>1.02</v>
      </c>
      <c r="B13" s="5">
        <f>IF(A13&gt;=1.3,3,IF(A13&lt;0.49,0,3-((1.3-A13)*100*0.037)))</f>
        <v>1.964</v>
      </c>
      <c r="C13" s="8">
        <f>B13*3</f>
        <v>5.8919999999999995</v>
      </c>
    </row>
    <row r="16" spans="1:10" ht="13.5" thickBot="1" x14ac:dyDescent="0.35">
      <c r="A16" s="9" t="s">
        <v>6</v>
      </c>
      <c r="B16" s="6"/>
      <c r="C16" s="6"/>
    </row>
    <row r="17" spans="1:9" x14ac:dyDescent="0.25">
      <c r="A17" s="13"/>
      <c r="B17" s="3" t="s">
        <v>7</v>
      </c>
      <c r="C17" s="3" t="s">
        <v>8</v>
      </c>
      <c r="D17" s="14"/>
      <c r="E17" s="14"/>
      <c r="F17" s="15"/>
      <c r="G17" s="17"/>
    </row>
    <row r="18" spans="1:9" x14ac:dyDescent="0.25">
      <c r="A18" s="16" t="s">
        <v>9</v>
      </c>
      <c r="B18" s="55">
        <v>31</v>
      </c>
      <c r="C18" s="4">
        <f>2*B18</f>
        <v>62</v>
      </c>
      <c r="D18" s="17"/>
      <c r="E18" s="17" t="s">
        <v>10</v>
      </c>
      <c r="F18" s="18"/>
      <c r="G18" s="17"/>
    </row>
    <row r="19" spans="1:9" x14ac:dyDescent="0.25">
      <c r="A19" s="16" t="s">
        <v>11</v>
      </c>
      <c r="B19" s="55">
        <v>7</v>
      </c>
      <c r="C19" s="19">
        <f>4*B19</f>
        <v>28</v>
      </c>
      <c r="D19" s="17"/>
      <c r="E19" s="17" t="s">
        <v>12</v>
      </c>
      <c r="F19" s="59">
        <f>11279+550</f>
        <v>11829</v>
      </c>
      <c r="G19" s="17"/>
    </row>
    <row r="20" spans="1:9" ht="13" x14ac:dyDescent="0.3">
      <c r="A20" s="16"/>
      <c r="B20" s="17"/>
      <c r="C20" s="23">
        <f>SUM(C18:C19)/3</f>
        <v>30</v>
      </c>
      <c r="D20" s="17"/>
      <c r="E20" s="26"/>
      <c r="F20" s="18"/>
      <c r="G20" s="17"/>
    </row>
    <row r="21" spans="1:9" x14ac:dyDescent="0.25">
      <c r="A21" s="16"/>
      <c r="B21" s="17"/>
      <c r="C21" s="17"/>
      <c r="D21" s="17"/>
      <c r="E21" s="17"/>
      <c r="F21" s="18"/>
      <c r="G21" s="38"/>
    </row>
    <row r="22" spans="1:9" x14ac:dyDescent="0.25">
      <c r="A22" s="16"/>
      <c r="B22" s="17"/>
      <c r="C22" s="17"/>
      <c r="D22" s="17"/>
      <c r="E22" s="17"/>
      <c r="F22" s="18"/>
      <c r="G22" s="17"/>
    </row>
    <row r="23" spans="1:9" ht="13" x14ac:dyDescent="0.3">
      <c r="A23" s="16" t="s">
        <v>14</v>
      </c>
      <c r="B23" s="23">
        <f>C20*1000000/(365*(F19+G21))</f>
        <v>6.9483287532266305</v>
      </c>
      <c r="C23" s="27"/>
      <c r="D23" s="17"/>
      <c r="E23" s="17"/>
      <c r="F23" s="18"/>
      <c r="G23" s="17"/>
    </row>
    <row r="24" spans="1:9" x14ac:dyDescent="0.25">
      <c r="A24" s="16"/>
      <c r="B24" s="17"/>
      <c r="C24" s="17"/>
      <c r="D24" s="17"/>
      <c r="E24" s="28" t="s">
        <v>28</v>
      </c>
      <c r="F24" s="29" t="s">
        <v>27</v>
      </c>
      <c r="G24" s="17"/>
    </row>
    <row r="25" spans="1:9" ht="13" thickBot="1" x14ac:dyDescent="0.3">
      <c r="A25" s="20"/>
      <c r="B25" s="21"/>
      <c r="C25" s="21"/>
      <c r="D25" s="21" t="s">
        <v>29</v>
      </c>
      <c r="E25" s="10">
        <f>IF(B23&gt;=12,3,IF(B23&lt;3,0,3-((12-B23)*10*0.033)))</f>
        <v>1.332948488564788</v>
      </c>
      <c r="F25" s="8">
        <f>E25*3</f>
        <v>3.9988454656943642</v>
      </c>
      <c r="G25" s="17"/>
    </row>
    <row r="28" spans="1:9" ht="13.5" thickBot="1" x14ac:dyDescent="0.35">
      <c r="A28" s="9" t="s">
        <v>30</v>
      </c>
    </row>
    <row r="29" spans="1:9" x14ac:dyDescent="0.25">
      <c r="A29" s="13"/>
      <c r="B29" s="3" t="s">
        <v>28</v>
      </c>
      <c r="C29" s="24" t="s">
        <v>27</v>
      </c>
    </row>
    <row r="30" spans="1:9" ht="13" thickBot="1" x14ac:dyDescent="0.3">
      <c r="A30" s="32" t="s">
        <v>34</v>
      </c>
      <c r="B30" s="5">
        <f>IF(A30="high",3,0)</f>
        <v>3</v>
      </c>
      <c r="C30" s="30">
        <f>B30*2</f>
        <v>6</v>
      </c>
      <c r="I30" t="s">
        <v>42</v>
      </c>
    </row>
    <row r="31" spans="1:9" x14ac:dyDescent="0.25">
      <c r="I31" t="s">
        <v>43</v>
      </c>
    </row>
    <row r="32" spans="1:9" x14ac:dyDescent="0.25">
      <c r="I32" t="s">
        <v>31</v>
      </c>
    </row>
    <row r="33" spans="1:9" ht="13.5" thickBot="1" x14ac:dyDescent="0.35">
      <c r="A33" s="9" t="s">
        <v>33</v>
      </c>
      <c r="I33" t="s">
        <v>32</v>
      </c>
    </row>
    <row r="34" spans="1:9" x14ac:dyDescent="0.25">
      <c r="A34" s="13"/>
      <c r="B34" s="3" t="s">
        <v>28</v>
      </c>
      <c r="C34" s="24" t="s">
        <v>27</v>
      </c>
    </row>
    <row r="35" spans="1:9" ht="13" thickBot="1" x14ac:dyDescent="0.3">
      <c r="A35" s="57" t="s">
        <v>32</v>
      </c>
      <c r="B35" s="5">
        <f>IF(A35="Poor",2,IF(A35="Fair",1,0))</f>
        <v>2</v>
      </c>
      <c r="C35" s="30">
        <f>B35*2</f>
        <v>4</v>
      </c>
    </row>
    <row r="36" spans="1:9" x14ac:dyDescent="0.25">
      <c r="I36" t="s">
        <v>77</v>
      </c>
    </row>
    <row r="38" spans="1:9" ht="13.5" thickBot="1" x14ac:dyDescent="0.35">
      <c r="A38" s="9" t="s">
        <v>85</v>
      </c>
    </row>
    <row r="39" spans="1:9" x14ac:dyDescent="0.25">
      <c r="A39" s="13"/>
      <c r="B39" s="3" t="s">
        <v>28</v>
      </c>
      <c r="C39" s="24" t="s">
        <v>27</v>
      </c>
      <c r="I39" t="s">
        <v>96</v>
      </c>
    </row>
    <row r="40" spans="1:9" ht="13" thickBot="1" x14ac:dyDescent="0.3">
      <c r="A40" s="57" t="s">
        <v>96</v>
      </c>
      <c r="B40" s="5">
        <f>IF(A40="High",2,IF(A40="Low",1,0))</f>
        <v>0</v>
      </c>
      <c r="C40" s="30">
        <f>B40*1</f>
        <v>0</v>
      </c>
      <c r="I40" t="s">
        <v>34</v>
      </c>
    </row>
    <row r="43" spans="1:9" ht="13.5" thickBot="1" x14ac:dyDescent="0.35">
      <c r="A43" s="9" t="s">
        <v>98</v>
      </c>
      <c r="G43" s="17"/>
    </row>
    <row r="44" spans="1:9" x14ac:dyDescent="0.25">
      <c r="A44" s="40" t="s">
        <v>100</v>
      </c>
      <c r="B44" s="14"/>
      <c r="C44" s="3" t="s">
        <v>28</v>
      </c>
      <c r="D44" s="24" t="s">
        <v>27</v>
      </c>
      <c r="G44" s="17"/>
      <c r="I44" s="67" t="s">
        <v>103</v>
      </c>
    </row>
    <row r="45" spans="1:9" x14ac:dyDescent="0.25">
      <c r="A45" s="70" t="s">
        <v>105</v>
      </c>
      <c r="B45" s="71" t="s">
        <v>97</v>
      </c>
      <c r="C45" s="4">
        <f>IF(B45="Yes",1,IF(B45="No",0,0))</f>
        <v>0</v>
      </c>
      <c r="D45" s="68">
        <f>C45*3</f>
        <v>0</v>
      </c>
      <c r="E45" s="6"/>
      <c r="F45" s="6"/>
      <c r="G45" s="17"/>
      <c r="I45" s="67" t="s">
        <v>104</v>
      </c>
    </row>
    <row r="46" spans="1:9" x14ac:dyDescent="0.25">
      <c r="A46" s="70"/>
      <c r="B46" s="73"/>
      <c r="C46" s="22"/>
      <c r="D46" s="37"/>
      <c r="E46" s="6"/>
      <c r="F46" s="6"/>
      <c r="G46" s="17"/>
      <c r="I46" s="67" t="s">
        <v>102</v>
      </c>
    </row>
    <row r="47" spans="1:9" ht="13" thickBot="1" x14ac:dyDescent="0.3">
      <c r="A47" s="20" t="s">
        <v>101</v>
      </c>
      <c r="B47" s="74" t="s">
        <v>103</v>
      </c>
      <c r="C47" s="75">
        <f>IF(B47="Both sides",1,IF(B47="One side",0,IF(B47="No sidewalk",-1,0)))</f>
        <v>1</v>
      </c>
      <c r="D47" s="69">
        <f>C47*3</f>
        <v>3</v>
      </c>
      <c r="G47" s="17"/>
    </row>
    <row r="48" spans="1:9" x14ac:dyDescent="0.25">
      <c r="I48" t="s">
        <v>97</v>
      </c>
    </row>
    <row r="49" spans="1:9" x14ac:dyDescent="0.25">
      <c r="I49" t="s">
        <v>99</v>
      </c>
    </row>
    <row r="50" spans="1:9" ht="13.5" thickBot="1" x14ac:dyDescent="0.35">
      <c r="A50" s="9" t="s">
        <v>35</v>
      </c>
      <c r="D50" s="12"/>
      <c r="E50" s="12"/>
    </row>
    <row r="51" spans="1:9" x14ac:dyDescent="0.25">
      <c r="A51" s="13"/>
      <c r="B51" s="14"/>
      <c r="C51" s="14"/>
      <c r="D51" s="35"/>
      <c r="E51" s="3" t="s">
        <v>28</v>
      </c>
      <c r="F51" s="24" t="s">
        <v>27</v>
      </c>
      <c r="G51" s="19"/>
      <c r="I51" t="s">
        <v>44</v>
      </c>
    </row>
    <row r="52" spans="1:9" ht="13" thickBot="1" x14ac:dyDescent="0.3">
      <c r="A52" s="84" t="s">
        <v>106</v>
      </c>
      <c r="B52" s="85"/>
      <c r="C52" s="85"/>
      <c r="D52" s="85"/>
      <c r="E52" s="36">
        <f>IF(A52="Project has been programmed (JP number from ODOT)",1,IF(A52="Received Clearance for Letting from ROW Division",6,IF(A52="Submitted Preliminary Plans and updated costs to ODOT",5,IF(A52="Submitted ROW Plans/received environmental clearance",4,IF(A52="Plan-in-hand meeting has been held",3,IF(A52="Entity has submitted plan-in-hand plans to ODOT",2,0))))))</f>
        <v>1</v>
      </c>
      <c r="F52" s="30">
        <f>E52*3</f>
        <v>3</v>
      </c>
      <c r="G52" s="22"/>
      <c r="I52" t="s">
        <v>45</v>
      </c>
    </row>
    <row r="53" spans="1:9" x14ac:dyDescent="0.25">
      <c r="G53" s="22"/>
      <c r="I53" t="s">
        <v>46</v>
      </c>
    </row>
    <row r="54" spans="1:9" ht="13" thickBot="1" x14ac:dyDescent="0.3">
      <c r="G54" s="22"/>
      <c r="I54" t="s">
        <v>47</v>
      </c>
    </row>
    <row r="55" spans="1:9" ht="13" x14ac:dyDescent="0.3">
      <c r="F55" s="33" t="s">
        <v>37</v>
      </c>
      <c r="I55" t="s">
        <v>48</v>
      </c>
    </row>
    <row r="56" spans="1:9" ht="13" thickBot="1" x14ac:dyDescent="0.3">
      <c r="F56" s="34">
        <f>F52+C35+C30+F25+C13+F8+C40+D47+D45</f>
        <v>31.890845465694365</v>
      </c>
      <c r="I56" t="s">
        <v>106</v>
      </c>
    </row>
    <row r="57" spans="1:9" x14ac:dyDescent="0.25">
      <c r="I57" t="s">
        <v>107</v>
      </c>
    </row>
  </sheetData>
  <sheetProtection selectLockedCells="1"/>
  <mergeCells count="2">
    <mergeCell ref="A52:D52"/>
    <mergeCell ref="A4:F4"/>
  </mergeCells>
  <phoneticPr fontId="0" type="noConversion"/>
  <dataValidations count="6">
    <dataValidation type="list" allowBlank="1" showInputMessage="1" showErrorMessage="1" sqref="A52:D52">
      <formula1>$I$51:$I$57</formula1>
    </dataValidation>
    <dataValidation type="list" allowBlank="1" showInputMessage="1" showErrorMessage="1" sqref="B45:B46">
      <formula1>$I$48:$I$49</formula1>
    </dataValidation>
    <dataValidation type="list" allowBlank="1" showInputMessage="1" showErrorMessage="1" sqref="B47">
      <formula1>$I$44:$I$46</formula1>
    </dataValidation>
    <dataValidation type="list" allowBlank="1" showInputMessage="1" showErrorMessage="1" sqref="A35">
      <formula1>$I$30:$I$33</formula1>
    </dataValidation>
    <dataValidation type="list" allowBlank="1" showInputMessage="1" showErrorMessage="1" sqref="A8">
      <formula1>$J$8:$J$10</formula1>
    </dataValidation>
    <dataValidation type="list" allowBlank="1" showInputMessage="1" showErrorMessage="1" sqref="A40">
      <formula1>$I$39:$I$40</formula1>
    </dataValidation>
  </dataValidations>
  <pageMargins left="0.75" right="0.62" top="0.5" bottom="0.5" header="0.5" footer="0.5"/>
  <pageSetup orientation="portrait" r:id="rId1"/>
  <headerFooter alignWithMargins="0"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topLeftCell="A25" workbookViewId="0">
      <selection activeCell="B42" sqref="B42"/>
    </sheetView>
  </sheetViews>
  <sheetFormatPr defaultRowHeight="12.5" x14ac:dyDescent="0.25"/>
  <cols>
    <col min="1" max="1" width="27.36328125" customWidth="1"/>
    <col min="2" max="2" width="13.90625" customWidth="1"/>
    <col min="3" max="3" width="12.453125" customWidth="1"/>
    <col min="4" max="4" width="9.08984375" hidden="1" customWidth="1"/>
    <col min="5" max="5" width="15" customWidth="1"/>
    <col min="6" max="6" width="11.36328125" customWidth="1"/>
    <col min="8" max="8" width="9.08984375" hidden="1" customWidth="1"/>
    <col min="9" max="9" width="11.36328125" hidden="1" customWidth="1"/>
    <col min="10" max="11" width="9.08984375" hidden="1" customWidth="1"/>
    <col min="12" max="12" width="10.90625" hidden="1" customWidth="1"/>
  </cols>
  <sheetData>
    <row r="1" spans="1:12" ht="18" x14ac:dyDescent="0.4">
      <c r="A1" s="86" t="s">
        <v>74</v>
      </c>
      <c r="B1" s="86"/>
      <c r="C1" s="86"/>
      <c r="D1" s="86"/>
      <c r="E1" s="86"/>
      <c r="F1" s="86"/>
    </row>
    <row r="2" spans="1:12" ht="12" customHeight="1" x14ac:dyDescent="0.4">
      <c r="A2" s="77"/>
      <c r="B2" s="77"/>
      <c r="C2" s="77"/>
      <c r="D2" s="77"/>
      <c r="E2" s="77"/>
      <c r="F2" s="77"/>
    </row>
    <row r="3" spans="1:12" ht="18.5" thickBot="1" x14ac:dyDescent="0.45">
      <c r="A3" s="31" t="s">
        <v>114</v>
      </c>
      <c r="B3" s="77"/>
      <c r="C3" s="77"/>
      <c r="D3" s="77"/>
      <c r="E3" s="77"/>
      <c r="F3" s="77"/>
    </row>
    <row r="4" spans="1:12" ht="13" thickBot="1" x14ac:dyDescent="0.3">
      <c r="A4" s="87"/>
      <c r="B4" s="88"/>
      <c r="C4" s="88"/>
      <c r="D4" s="88"/>
      <c r="E4" s="88"/>
      <c r="F4" s="89"/>
    </row>
    <row r="5" spans="1:12" x14ac:dyDescent="0.25">
      <c r="L5" t="s">
        <v>39</v>
      </c>
    </row>
    <row r="6" spans="1:12" ht="13.5" thickBot="1" x14ac:dyDescent="0.35">
      <c r="A6" s="9" t="s">
        <v>38</v>
      </c>
      <c r="L6" t="s">
        <v>40</v>
      </c>
    </row>
    <row r="7" spans="1:12" x14ac:dyDescent="0.25">
      <c r="A7" s="94" t="s">
        <v>39</v>
      </c>
      <c r="B7" s="19"/>
      <c r="C7" s="19"/>
      <c r="L7" t="s">
        <v>41</v>
      </c>
    </row>
    <row r="8" spans="1:12" ht="13" thickBot="1" x14ac:dyDescent="0.3">
      <c r="A8" s="95"/>
      <c r="B8" s="4"/>
      <c r="C8" s="22"/>
      <c r="L8" t="s">
        <v>49</v>
      </c>
    </row>
    <row r="10" spans="1:12" ht="13.5" thickBot="1" x14ac:dyDescent="0.35">
      <c r="A10" s="9" t="s">
        <v>82</v>
      </c>
    </row>
    <row r="11" spans="1:12" x14ac:dyDescent="0.25">
      <c r="A11" s="13"/>
      <c r="B11" s="64" t="s">
        <v>80</v>
      </c>
      <c r="C11" s="3" t="s">
        <v>28</v>
      </c>
      <c r="D11" s="3"/>
      <c r="E11" s="14"/>
      <c r="F11" s="24" t="s">
        <v>27</v>
      </c>
    </row>
    <row r="12" spans="1:12" ht="13" thickBot="1" x14ac:dyDescent="0.3">
      <c r="A12" s="65" t="s">
        <v>81</v>
      </c>
      <c r="B12" s="54" t="s">
        <v>97</v>
      </c>
      <c r="C12" s="5">
        <f>IF(B12="Yes", IF(A7="Principal Arterial",3,IF(A7="Minor Arterial",2,IF(A7="Collector",1))),0)</f>
        <v>0</v>
      </c>
      <c r="D12" s="36"/>
      <c r="E12" s="21"/>
      <c r="F12" s="30">
        <f>C12*3</f>
        <v>0</v>
      </c>
      <c r="G12" s="19"/>
    </row>
    <row r="13" spans="1:12" x14ac:dyDescent="0.25">
      <c r="G13" s="22"/>
    </row>
    <row r="14" spans="1:12" x14ac:dyDescent="0.25">
      <c r="G14" s="22"/>
    </row>
    <row r="15" spans="1:12" ht="13.5" thickBot="1" x14ac:dyDescent="0.35">
      <c r="A15" s="9" t="s">
        <v>109</v>
      </c>
      <c r="G15" s="22"/>
      <c r="H15" t="s">
        <v>96</v>
      </c>
    </row>
    <row r="16" spans="1:12" x14ac:dyDescent="0.25">
      <c r="A16" s="13"/>
      <c r="B16" s="3" t="s">
        <v>28</v>
      </c>
      <c r="C16" s="24" t="s">
        <v>27</v>
      </c>
      <c r="G16" s="22"/>
      <c r="H16" t="s">
        <v>34</v>
      </c>
    </row>
    <row r="17" spans="1:15" ht="13" thickBot="1" x14ac:dyDescent="0.3">
      <c r="A17" s="57" t="s">
        <v>96</v>
      </c>
      <c r="B17" s="5">
        <f>IF(A17="High",2,IF(A17="Low",1,0))</f>
        <v>0</v>
      </c>
      <c r="C17" s="30">
        <f>B17*1</f>
        <v>0</v>
      </c>
      <c r="G17" s="22"/>
    </row>
    <row r="18" spans="1:15" x14ac:dyDescent="0.25">
      <c r="G18" s="22"/>
    </row>
    <row r="19" spans="1:15" x14ac:dyDescent="0.25">
      <c r="H19" t="s">
        <v>44</v>
      </c>
    </row>
    <row r="20" spans="1:15" ht="13.5" thickBot="1" x14ac:dyDescent="0.35">
      <c r="A20" s="9" t="s">
        <v>35</v>
      </c>
      <c r="H20" t="s">
        <v>45</v>
      </c>
    </row>
    <row r="21" spans="1:15" x14ac:dyDescent="0.25">
      <c r="A21" s="13"/>
      <c r="B21" s="14"/>
      <c r="C21" s="14"/>
      <c r="D21" s="14"/>
      <c r="E21" s="3" t="s">
        <v>28</v>
      </c>
      <c r="F21" s="24" t="s">
        <v>27</v>
      </c>
      <c r="H21" t="s">
        <v>46</v>
      </c>
    </row>
    <row r="22" spans="1:15" ht="13" thickBot="1" x14ac:dyDescent="0.3">
      <c r="A22" s="84" t="s">
        <v>106</v>
      </c>
      <c r="B22" s="85"/>
      <c r="C22" s="85"/>
      <c r="D22" s="85"/>
      <c r="E22" s="36">
        <f>IF(A22="Project has been programmed (JP number from ODOT)",1,IF(A22="Received Clearance for Letting from ROW Division",6,IF(A22="Submitted Preliminary Plans and updated costs to ODOT",5,IF(A22="Submitted ROW Plans/received environmental clearance",4,IF(A22="Plan-in-hand meeting has been held",3,IF(A22="Entity has submitted plan-in-hand plans to ODOT",2,0))))))</f>
        <v>1</v>
      </c>
      <c r="F22" s="30">
        <f>E22*2</f>
        <v>2</v>
      </c>
      <c r="H22" t="s">
        <v>47</v>
      </c>
    </row>
    <row r="23" spans="1:15" x14ac:dyDescent="0.25">
      <c r="H23" t="s">
        <v>48</v>
      </c>
    </row>
    <row r="24" spans="1:15" x14ac:dyDescent="0.25">
      <c r="H24" t="s">
        <v>106</v>
      </c>
    </row>
    <row r="25" spans="1:15" x14ac:dyDescent="0.25">
      <c r="H25" t="s">
        <v>107</v>
      </c>
    </row>
    <row r="26" spans="1:15" ht="13.5" thickBot="1" x14ac:dyDescent="0.35">
      <c r="A26" s="9" t="s">
        <v>26</v>
      </c>
    </row>
    <row r="27" spans="1:15" x14ac:dyDescent="0.25">
      <c r="A27" s="40" t="s">
        <v>16</v>
      </c>
      <c r="B27" s="14"/>
      <c r="C27" s="14"/>
      <c r="D27" s="14"/>
      <c r="E27" s="14"/>
      <c r="F27" s="15"/>
      <c r="O27" s="12"/>
    </row>
    <row r="28" spans="1:15" x14ac:dyDescent="0.25">
      <c r="A28" s="60">
        <v>0</v>
      </c>
      <c r="B28" s="17" t="s">
        <v>17</v>
      </c>
      <c r="C28" s="17">
        <v>1500000</v>
      </c>
      <c r="D28" s="17"/>
      <c r="E28" s="17"/>
      <c r="F28" s="18"/>
      <c r="H28" t="s">
        <v>52</v>
      </c>
    </row>
    <row r="29" spans="1:15" x14ac:dyDescent="0.25">
      <c r="A29" s="60">
        <v>85</v>
      </c>
      <c r="B29" s="17" t="s">
        <v>18</v>
      </c>
      <c r="C29" s="17">
        <v>11000</v>
      </c>
      <c r="D29" s="4" t="s">
        <v>19</v>
      </c>
      <c r="E29" s="17"/>
      <c r="F29" s="18"/>
      <c r="H29" t="s">
        <v>53</v>
      </c>
    </row>
    <row r="30" spans="1:15" x14ac:dyDescent="0.25">
      <c r="A30" s="60">
        <v>21</v>
      </c>
      <c r="B30" s="17" t="s">
        <v>20</v>
      </c>
      <c r="C30" s="17">
        <v>3000</v>
      </c>
      <c r="D30" s="17"/>
      <c r="E30" s="17"/>
      <c r="F30" s="18"/>
      <c r="H30" t="s">
        <v>54</v>
      </c>
    </row>
    <row r="31" spans="1:15" x14ac:dyDescent="0.25">
      <c r="A31" s="16"/>
      <c r="B31" s="17" t="s">
        <v>21</v>
      </c>
      <c r="C31" s="17"/>
      <c r="D31" s="17"/>
      <c r="E31" s="17"/>
      <c r="F31" s="18"/>
      <c r="H31" t="s">
        <v>69</v>
      </c>
    </row>
    <row r="32" spans="1:15" x14ac:dyDescent="0.25">
      <c r="A32" s="16"/>
      <c r="B32" s="17"/>
      <c r="C32" s="17"/>
      <c r="D32" s="17"/>
      <c r="E32" s="17"/>
      <c r="F32" s="41">
        <f>((C28*A28)+(C29*A29)+(C30*A30))/3</f>
        <v>332666.66666666669</v>
      </c>
      <c r="G32" s="39"/>
      <c r="H32" t="s">
        <v>55</v>
      </c>
    </row>
    <row r="33" spans="1:8" x14ac:dyDescent="0.25">
      <c r="A33" s="16"/>
      <c r="B33" s="17"/>
      <c r="C33" s="17"/>
      <c r="D33" s="17"/>
      <c r="E33" s="17"/>
      <c r="F33" s="18"/>
      <c r="H33" t="s">
        <v>56</v>
      </c>
    </row>
    <row r="34" spans="1:8" x14ac:dyDescent="0.25">
      <c r="A34" s="42" t="s">
        <v>22</v>
      </c>
      <c r="B34" s="17"/>
      <c r="C34" s="17"/>
      <c r="D34" s="17"/>
      <c r="E34" s="17"/>
      <c r="F34" s="18"/>
      <c r="H34" t="s">
        <v>57</v>
      </c>
    </row>
    <row r="35" spans="1:8" x14ac:dyDescent="0.25">
      <c r="A35" s="92" t="s">
        <v>66</v>
      </c>
      <c r="B35" s="93"/>
      <c r="C35" s="93"/>
      <c r="D35" s="17"/>
      <c r="E35" s="17" t="s">
        <v>67</v>
      </c>
      <c r="F35" s="18"/>
      <c r="H35" t="s">
        <v>58</v>
      </c>
    </row>
    <row r="36" spans="1:8" x14ac:dyDescent="0.25">
      <c r="A36" s="90" t="s">
        <v>69</v>
      </c>
      <c r="B36" s="91"/>
      <c r="C36" s="91"/>
      <c r="D36" s="43">
        <f>IF(A36="install warning/guide signs",0.2,IF(A36="Install traffic signals",0.28,IF(A36="Upgrade traffic signals",0.22,IF(A36="Signal timing and interconnection",0.1,IF(A36="Add left turn signal phase",0.25,IF(A36="Install pedestrian signal",0.15,IF(A36="Install stop signs",0.2,IF(A36="Install pavement markings/edge markings",0.2,0))))))))</f>
        <v>0.1</v>
      </c>
      <c r="E36" s="44">
        <f>SUM(D36:D37)</f>
        <v>0.1</v>
      </c>
      <c r="F36" s="18"/>
      <c r="H36" t="s">
        <v>59</v>
      </c>
    </row>
    <row r="37" spans="1:8" x14ac:dyDescent="0.25">
      <c r="A37" s="16"/>
      <c r="B37" s="4"/>
      <c r="C37" s="17"/>
      <c r="D37" s="22">
        <f>IF(A36="Install pedestrian crosswalk/schoolzone markings",0.1,IF(A36="Install raised reflective pavement markers",0.2,IF(A36="Install gaurdrail or concrete traffic barrier",0.3,IF(A36="Install impact attenuator",0.6,IF(A36="Safety treat utility poles/Install breakaway poles",0.35,IF(A36="Traffic (safety) lighting",0.25,IF(A36="Priority control systems at signalized intersections",0.1,0)))))))</f>
        <v>0</v>
      </c>
      <c r="E37" s="17"/>
      <c r="F37" s="45">
        <f>F32*(1-E36)</f>
        <v>299400</v>
      </c>
      <c r="H37" t="s">
        <v>60</v>
      </c>
    </row>
    <row r="38" spans="1:8" x14ac:dyDescent="0.25">
      <c r="A38" s="16"/>
      <c r="B38" s="4"/>
      <c r="C38" s="17"/>
      <c r="D38" s="17"/>
      <c r="E38" s="17"/>
      <c r="F38" s="18"/>
      <c r="H38" t="s">
        <v>61</v>
      </c>
    </row>
    <row r="39" spans="1:8" x14ac:dyDescent="0.25">
      <c r="A39" s="42" t="s">
        <v>23</v>
      </c>
      <c r="B39" s="4"/>
      <c r="C39" s="17"/>
      <c r="D39" s="17"/>
      <c r="E39" s="17"/>
      <c r="F39" s="18"/>
      <c r="H39" t="s">
        <v>62</v>
      </c>
    </row>
    <row r="40" spans="1:8" x14ac:dyDescent="0.25">
      <c r="A40" s="16" t="s">
        <v>83</v>
      </c>
      <c r="B40" s="63">
        <v>11279</v>
      </c>
      <c r="C40" s="17"/>
      <c r="D40" s="17"/>
      <c r="E40" s="17" t="s">
        <v>68</v>
      </c>
      <c r="F40" s="18"/>
      <c r="H40" t="s">
        <v>63</v>
      </c>
    </row>
    <row r="41" spans="1:8" x14ac:dyDescent="0.25">
      <c r="A41" s="16"/>
      <c r="B41" s="4"/>
      <c r="C41" s="17"/>
      <c r="D41" s="4">
        <f>IF(A36="install warning/guide signs",1.126,IF(A36="Install traffic signals",1.219,IF(A36="Upgrade traffic signals",1.219,IF(A36="Signal timing and interconnection",1.219,IF(A36="Add left turn signal phase",1.219,IF(A36="Install pedestrian signal",1.219,IF(A36="Install stop signs",1.126,IF(A36="Install pavement markings/edge markings",1.04,0))))))))</f>
        <v>1.2190000000000001</v>
      </c>
      <c r="E41" s="22">
        <f>SUM(D41:D42)</f>
        <v>1.2190000000000001</v>
      </c>
      <c r="F41" s="18"/>
      <c r="H41" t="s">
        <v>64</v>
      </c>
    </row>
    <row r="42" spans="1:8" x14ac:dyDescent="0.25">
      <c r="A42" s="16" t="s">
        <v>79</v>
      </c>
      <c r="B42" s="55">
        <v>22000</v>
      </c>
      <c r="C42" s="17"/>
      <c r="D42" s="22">
        <f>IF(A36="Install pedestrian crosswalk/schoolzone markings",1.04,IF(A36="Install raised reflective pavement markers",1.04,IF(A36="Install gaurdrail or concrete traffic barrier",1.219,IF(A36="Install impact attenuator",1.219,IF(A36="Safety treat utility poles/Install breakaway poles",1.219,IF(A36="Traffic (safety) lighting",1.349,IF(A36="Priority control systems at signalized intersections",1.219,0)))))))</f>
        <v>0</v>
      </c>
      <c r="E42" s="17"/>
      <c r="F42" s="18"/>
      <c r="H42" t="s">
        <v>65</v>
      </c>
    </row>
    <row r="43" spans="1:8" x14ac:dyDescent="0.25">
      <c r="A43" s="16"/>
      <c r="B43" s="17"/>
      <c r="C43" s="17"/>
      <c r="D43" s="17"/>
      <c r="E43" s="17"/>
      <c r="F43" s="46">
        <f>(((B40*E41)-B40)/(B42))+1</f>
        <v>1.1122773181818182</v>
      </c>
    </row>
    <row r="44" spans="1:8" x14ac:dyDescent="0.25">
      <c r="A44" s="16"/>
      <c r="B44" s="17"/>
      <c r="C44" s="17"/>
      <c r="D44" s="17"/>
      <c r="E44" s="17"/>
      <c r="F44" s="18"/>
    </row>
    <row r="45" spans="1:8" x14ac:dyDescent="0.25">
      <c r="A45" s="42" t="s">
        <v>24</v>
      </c>
      <c r="B45" s="17"/>
      <c r="C45" s="17"/>
      <c r="D45" s="17"/>
      <c r="E45" s="28" t="s">
        <v>25</v>
      </c>
      <c r="F45" s="18"/>
    </row>
    <row r="46" spans="1:8" x14ac:dyDescent="0.25">
      <c r="A46" s="80">
        <f>SUM(H47:H48)</f>
        <v>0.13</v>
      </c>
      <c r="B46" s="17"/>
      <c r="C46" s="17"/>
      <c r="D46" s="17"/>
      <c r="E46" s="61">
        <v>250000</v>
      </c>
      <c r="F46" s="18"/>
      <c r="H46" s="52" t="s">
        <v>78</v>
      </c>
    </row>
    <row r="47" spans="1:8" x14ac:dyDescent="0.25">
      <c r="A47" s="16"/>
      <c r="B47" s="17"/>
      <c r="C47" s="17"/>
      <c r="D47" s="17"/>
      <c r="E47" s="17"/>
      <c r="F47" s="18"/>
      <c r="H47">
        <f>IF(A36="Install warning/guide signs",0.197,IF(A36="Install traffic signals",0.13,IF(A36="Upgrade traffic signals",0.13,IF(A36="Signal timing and interconnection",0.13,IF(A36="Add left turn signal phase",0.13,IF(A36="Install pedestrian signal",0.13,IF(A36="Install stop signs",0.197,IF(A36="Install pavement markings/edge markings",0.538,0))))))))</f>
        <v>0.13</v>
      </c>
    </row>
    <row r="48" spans="1:8" ht="13" thickBot="1" x14ac:dyDescent="0.3">
      <c r="A48" s="20"/>
      <c r="B48" s="21"/>
      <c r="C48" s="50" t="s">
        <v>70</v>
      </c>
      <c r="D48" s="21"/>
      <c r="E48" s="21"/>
      <c r="F48" s="51">
        <f>((F32-F37)*F43)/(E46*A46)</f>
        <v>1.1385156549184154</v>
      </c>
      <c r="H48">
        <f>IF(A36="Install pedestrian crosswalk/schoolzone markings",0.538,IF(A36="Install raised reflective pavement markers",0.538,IF(A36="Install gaurdrail or concrete traffic barrier",0.13,IF(A36="Install impact attenuator",0.13,IF(A36="Safety treat utility poles/Install breakaway poles",0.13,IF(A36="Traffic (Safety) lighting",0.096,IF(A36="Priority control systems at signalized intersections",0.13,0)))))))</f>
        <v>0</v>
      </c>
    </row>
    <row r="49" spans="6:6" ht="13" thickBot="1" x14ac:dyDescent="0.3"/>
    <row r="50" spans="6:6" x14ac:dyDescent="0.25">
      <c r="F50" s="49" t="s">
        <v>37</v>
      </c>
    </row>
    <row r="51" spans="6:6" ht="13" thickBot="1" x14ac:dyDescent="0.3">
      <c r="F51" s="34">
        <f>F48+F22+F12+C17</f>
        <v>3.1385156549184154</v>
      </c>
    </row>
  </sheetData>
  <sheetProtection selectLockedCells="1"/>
  <mergeCells count="6">
    <mergeCell ref="A22:D22"/>
    <mergeCell ref="A36:C36"/>
    <mergeCell ref="A35:C35"/>
    <mergeCell ref="A1:F1"/>
    <mergeCell ref="A7:A8"/>
    <mergeCell ref="A4:F4"/>
  </mergeCells>
  <phoneticPr fontId="0" type="noConversion"/>
  <dataValidations count="5">
    <dataValidation type="list" allowBlank="1" showInputMessage="1" showErrorMessage="1" sqref="A7">
      <formula1>$L$5:$L$8</formula1>
    </dataValidation>
    <dataValidation type="list" allowBlank="1" showInputMessage="1" showErrorMessage="1" sqref="A36">
      <formula1>$H$28:$H$42</formula1>
    </dataValidation>
    <dataValidation type="list" allowBlank="1" showInputMessage="1" showErrorMessage="1" sqref="B12">
      <formula1>"Yes, No"</formula1>
    </dataValidation>
    <dataValidation type="list" allowBlank="1" showInputMessage="1" showErrorMessage="1" sqref="A17">
      <formula1>$H$15:$H$16</formula1>
    </dataValidation>
    <dataValidation type="list" allowBlank="1" showInputMessage="1" showErrorMessage="1" sqref="A22:D22">
      <formula1>$H$19:$H$25</formula1>
    </dataValidation>
  </dataValidations>
  <printOptions horizontalCentered="1"/>
  <pageMargins left="0.75" right="0.75" top="1" bottom="1" header="0.5" footer="0.5"/>
  <pageSetup orientation="portrait" r:id="rId1"/>
  <headerFooter alignWithMargins="0"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topLeftCell="A19" zoomScale="90" zoomScaleNormal="90" workbookViewId="0">
      <selection activeCell="A45" sqref="A45:D45"/>
    </sheetView>
  </sheetViews>
  <sheetFormatPr defaultRowHeight="12.5" x14ac:dyDescent="0.25"/>
  <cols>
    <col min="1" max="1" width="22.90625" customWidth="1"/>
    <col min="2" max="2" width="12.453125" customWidth="1"/>
    <col min="3" max="3" width="13" customWidth="1"/>
    <col min="4" max="4" width="14.08984375" customWidth="1"/>
    <col min="5" max="5" width="15.453125" customWidth="1"/>
    <col min="6" max="6" width="12.54296875" customWidth="1"/>
    <col min="7" max="7" width="12" customWidth="1"/>
    <col min="9" max="10" width="9.08984375" hidden="1" customWidth="1"/>
  </cols>
  <sheetData>
    <row r="1" spans="1:10" ht="18" x14ac:dyDescent="0.4">
      <c r="A1" s="82" t="s">
        <v>71</v>
      </c>
      <c r="B1" s="82"/>
      <c r="C1" s="82"/>
      <c r="D1" s="82"/>
      <c r="E1" s="82"/>
      <c r="F1" s="82"/>
      <c r="G1" s="79"/>
    </row>
    <row r="2" spans="1:10" ht="18" x14ac:dyDescent="0.4">
      <c r="A2" s="79"/>
      <c r="B2" s="79"/>
      <c r="C2" s="82"/>
      <c r="D2" s="79"/>
      <c r="E2" s="79"/>
      <c r="F2" s="79"/>
      <c r="G2" s="79"/>
    </row>
    <row r="3" spans="1:10" ht="18.5" thickBot="1" x14ac:dyDescent="0.45">
      <c r="A3" s="31" t="s">
        <v>114</v>
      </c>
      <c r="B3" s="79"/>
      <c r="C3" s="79"/>
      <c r="D3" s="79"/>
      <c r="E3" s="79"/>
      <c r="F3" s="79"/>
      <c r="G3" s="79"/>
    </row>
    <row r="4" spans="1:10" ht="18.5" thickBot="1" x14ac:dyDescent="0.45">
      <c r="A4" s="87"/>
      <c r="B4" s="88"/>
      <c r="C4" s="88"/>
      <c r="D4" s="88"/>
      <c r="E4" s="88"/>
      <c r="F4" s="89"/>
      <c r="G4" s="79"/>
    </row>
    <row r="6" spans="1:10" ht="13.5" thickBot="1" x14ac:dyDescent="0.35">
      <c r="A6" s="31" t="s">
        <v>0</v>
      </c>
    </row>
    <row r="7" spans="1:10" x14ac:dyDescent="0.25">
      <c r="A7" s="1" t="s">
        <v>1</v>
      </c>
      <c r="B7" s="3" t="s">
        <v>0</v>
      </c>
      <c r="C7" s="2"/>
      <c r="D7" s="2"/>
      <c r="E7" s="3" t="s">
        <v>28</v>
      </c>
      <c r="F7" s="24" t="s">
        <v>27</v>
      </c>
      <c r="J7" t="s">
        <v>39</v>
      </c>
    </row>
    <row r="8" spans="1:10" ht="13" thickBot="1" x14ac:dyDescent="0.3">
      <c r="A8" s="53" t="s">
        <v>41</v>
      </c>
      <c r="B8" s="54">
        <v>2300</v>
      </c>
      <c r="C8" s="5">
        <f>IF(A8="Principal Arterial",20000, IF(A8="Minor Arterial",12000,IF(A8="Collector",7000,IF(A8="Local",7000))))</f>
        <v>7000</v>
      </c>
      <c r="D8" s="5">
        <v>3</v>
      </c>
      <c r="E8" s="25">
        <f>IF(B8&gt;=C8,3,IF(B8&lt;C8,B8/C8*D8))</f>
        <v>0.98571428571428577</v>
      </c>
      <c r="F8" s="8">
        <f>E8*3</f>
        <v>2.9571428571428573</v>
      </c>
      <c r="J8" t="s">
        <v>40</v>
      </c>
    </row>
    <row r="9" spans="1:10" x14ac:dyDescent="0.25">
      <c r="J9" t="s">
        <v>41</v>
      </c>
    </row>
    <row r="11" spans="1:10" ht="13.5" thickBot="1" x14ac:dyDescent="0.35">
      <c r="A11" s="7" t="s">
        <v>3</v>
      </c>
    </row>
    <row r="12" spans="1:10" x14ac:dyDescent="0.25">
      <c r="A12" s="1" t="s">
        <v>4</v>
      </c>
      <c r="B12" s="3" t="s">
        <v>3</v>
      </c>
      <c r="C12" s="3" t="s">
        <v>28</v>
      </c>
      <c r="D12" s="24" t="s">
        <v>27</v>
      </c>
    </row>
    <row r="13" spans="1:10" ht="13" thickBot="1" x14ac:dyDescent="0.3">
      <c r="A13" s="53">
        <v>22000</v>
      </c>
      <c r="B13" s="10">
        <f>B8/A13</f>
        <v>0.10454545454545454</v>
      </c>
      <c r="C13" s="25">
        <f>IF(B13&gt;=1.3,3,IF(B13&lt;0.49,0,3-((1.3-B13)*100*0.037)))</f>
        <v>0</v>
      </c>
      <c r="D13" s="8">
        <f>C13*2</f>
        <v>0</v>
      </c>
    </row>
    <row r="14" spans="1:10" x14ac:dyDescent="0.25">
      <c r="A14" s="17"/>
      <c r="B14" s="17"/>
      <c r="C14" s="17"/>
      <c r="D14" s="23"/>
      <c r="E14" s="11"/>
    </row>
    <row r="16" spans="1:10" ht="13.5" thickBot="1" x14ac:dyDescent="0.35">
      <c r="A16" s="9" t="s">
        <v>6</v>
      </c>
      <c r="B16" s="6"/>
      <c r="C16" s="6"/>
    </row>
    <row r="17" spans="1:9" x14ac:dyDescent="0.25">
      <c r="A17" s="13"/>
      <c r="B17" s="3" t="s">
        <v>7</v>
      </c>
      <c r="C17" s="3" t="s">
        <v>8</v>
      </c>
      <c r="D17" s="14"/>
      <c r="E17" s="14"/>
      <c r="F17" s="15"/>
      <c r="G17" s="17"/>
    </row>
    <row r="18" spans="1:9" x14ac:dyDescent="0.25">
      <c r="A18" s="16" t="s">
        <v>9</v>
      </c>
      <c r="B18" s="55">
        <v>3</v>
      </c>
      <c r="C18" s="4">
        <f>2*B18</f>
        <v>6</v>
      </c>
      <c r="D18" s="17"/>
      <c r="E18" s="17" t="s">
        <v>13</v>
      </c>
      <c r="F18" s="37">
        <f>B8</f>
        <v>2300</v>
      </c>
      <c r="G18" s="17"/>
    </row>
    <row r="19" spans="1:9" x14ac:dyDescent="0.25">
      <c r="A19" s="16" t="s">
        <v>11</v>
      </c>
      <c r="B19" s="55">
        <v>1</v>
      </c>
      <c r="C19" s="19">
        <f>4*B19</f>
        <v>4</v>
      </c>
      <c r="D19" s="17"/>
      <c r="E19" s="17"/>
      <c r="F19" s="18"/>
      <c r="G19" s="17"/>
    </row>
    <row r="20" spans="1:9" x14ac:dyDescent="0.25">
      <c r="A20" s="16"/>
      <c r="B20" s="17"/>
      <c r="C20" s="23">
        <f>SUM(C18:C19)/3</f>
        <v>3.3333333333333335</v>
      </c>
      <c r="D20" s="17"/>
      <c r="E20" s="17" t="s">
        <v>84</v>
      </c>
      <c r="F20" s="56">
        <v>2</v>
      </c>
      <c r="G20" s="17"/>
    </row>
    <row r="21" spans="1:9" x14ac:dyDescent="0.25">
      <c r="A21" s="16"/>
      <c r="B21" s="17"/>
      <c r="C21" s="17"/>
      <c r="D21" s="17"/>
      <c r="E21" s="17"/>
      <c r="F21" s="18"/>
      <c r="G21" s="17"/>
    </row>
    <row r="22" spans="1:9" x14ac:dyDescent="0.25">
      <c r="A22" s="16"/>
      <c r="B22" s="17"/>
      <c r="C22" s="17"/>
      <c r="D22" s="17"/>
      <c r="E22" s="17"/>
      <c r="F22" s="18"/>
      <c r="G22" s="17"/>
    </row>
    <row r="23" spans="1:9" ht="13" x14ac:dyDescent="0.3">
      <c r="A23" s="16" t="s">
        <v>14</v>
      </c>
      <c r="B23" s="23">
        <f>C20*1000000/(365*(F18)*F20)</f>
        <v>1.9853087155052611</v>
      </c>
      <c r="C23" s="27"/>
      <c r="D23" s="17"/>
      <c r="E23" s="17"/>
      <c r="F23" s="18"/>
      <c r="G23" s="17"/>
    </row>
    <row r="24" spans="1:9" x14ac:dyDescent="0.25">
      <c r="A24" s="16"/>
      <c r="B24" s="17"/>
      <c r="C24" s="17"/>
      <c r="D24" s="17"/>
      <c r="E24" s="19" t="s">
        <v>28</v>
      </c>
      <c r="F24" s="29" t="s">
        <v>27</v>
      </c>
      <c r="G24" s="17"/>
    </row>
    <row r="25" spans="1:9" ht="13" thickBot="1" x14ac:dyDescent="0.3">
      <c r="A25" s="20"/>
      <c r="B25" s="21"/>
      <c r="C25" s="21"/>
      <c r="D25" s="5" t="s">
        <v>15</v>
      </c>
      <c r="E25" s="25">
        <f>IF(B23&gt;=12,3,IF(B23&lt;3,0,3-((12-B23)*10*0.033)))</f>
        <v>0</v>
      </c>
      <c r="F25" s="8">
        <f>E25*2</f>
        <v>0</v>
      </c>
      <c r="G25" s="17"/>
    </row>
    <row r="26" spans="1:9" x14ac:dyDescent="0.25">
      <c r="A26" s="17"/>
      <c r="B26" s="17"/>
      <c r="C26" s="17"/>
      <c r="D26" s="4"/>
      <c r="E26" s="23"/>
      <c r="F26" s="23"/>
      <c r="G26" s="17"/>
    </row>
    <row r="28" spans="1:9" ht="13.5" thickBot="1" x14ac:dyDescent="0.35">
      <c r="A28" s="9" t="s">
        <v>33</v>
      </c>
    </row>
    <row r="29" spans="1:9" x14ac:dyDescent="0.25">
      <c r="A29" s="13"/>
      <c r="B29" s="3" t="s">
        <v>28</v>
      </c>
      <c r="C29" s="24" t="s">
        <v>27</v>
      </c>
    </row>
    <row r="30" spans="1:9" ht="13" thickBot="1" x14ac:dyDescent="0.3">
      <c r="A30" s="57" t="s">
        <v>31</v>
      </c>
      <c r="B30" s="5">
        <f>IF(A30="Poor",2,IF(A30="Fair",1,0))</f>
        <v>1</v>
      </c>
      <c r="C30" s="30">
        <f>B30*3</f>
        <v>3</v>
      </c>
    </row>
    <row r="32" spans="1:9" x14ac:dyDescent="0.25">
      <c r="I32" t="s">
        <v>50</v>
      </c>
    </row>
    <row r="33" spans="1:9" ht="13.5" thickBot="1" x14ac:dyDescent="0.35">
      <c r="A33" s="9" t="s">
        <v>30</v>
      </c>
      <c r="I33" t="s">
        <v>51</v>
      </c>
    </row>
    <row r="34" spans="1:9" x14ac:dyDescent="0.25">
      <c r="A34" s="13"/>
      <c r="B34" s="3" t="s">
        <v>28</v>
      </c>
      <c r="C34" s="24" t="s">
        <v>27</v>
      </c>
      <c r="E34" s="58"/>
      <c r="I34" t="s">
        <v>36</v>
      </c>
    </row>
    <row r="35" spans="1:9" ht="13" thickBot="1" x14ac:dyDescent="0.3">
      <c r="A35" s="62" t="str">
        <f>IF(A30="Fair","Low",IF(A30="Good","Low",IF(A30="Poor","Moderate",IF(A30="Very Good","Neutral"))))</f>
        <v>Low</v>
      </c>
      <c r="B35" s="5">
        <f>IF(A35="Moderate",2,IF(A35="Low",1,0))</f>
        <v>1</v>
      </c>
      <c r="C35" s="30">
        <f>B35*3</f>
        <v>3</v>
      </c>
    </row>
    <row r="38" spans="1:9" ht="13.5" thickBot="1" x14ac:dyDescent="0.35">
      <c r="A38" s="9" t="s">
        <v>85</v>
      </c>
    </row>
    <row r="39" spans="1:9" x14ac:dyDescent="0.25">
      <c r="A39" s="13"/>
      <c r="B39" s="3" t="s">
        <v>28</v>
      </c>
      <c r="C39" s="24" t="s">
        <v>27</v>
      </c>
      <c r="I39" t="s">
        <v>96</v>
      </c>
    </row>
    <row r="40" spans="1:9" ht="13" thickBot="1" x14ac:dyDescent="0.3">
      <c r="A40" s="57" t="s">
        <v>96</v>
      </c>
      <c r="B40" s="5">
        <f>IF(A40="Moderate",2,IF(A40="Low",1,0))</f>
        <v>0</v>
      </c>
      <c r="C40" s="30">
        <f>B40*1</f>
        <v>0</v>
      </c>
      <c r="I40" t="s">
        <v>51</v>
      </c>
    </row>
    <row r="43" spans="1:9" ht="13.5" thickBot="1" x14ac:dyDescent="0.35">
      <c r="A43" s="9" t="s">
        <v>35</v>
      </c>
      <c r="I43" t="s">
        <v>42</v>
      </c>
    </row>
    <row r="44" spans="1:9" x14ac:dyDescent="0.25">
      <c r="A44" s="13"/>
      <c r="B44" s="14"/>
      <c r="C44" s="14"/>
      <c r="D44" s="14"/>
      <c r="E44" s="3" t="s">
        <v>28</v>
      </c>
      <c r="F44" s="24" t="s">
        <v>27</v>
      </c>
      <c r="I44" t="s">
        <v>43</v>
      </c>
    </row>
    <row r="45" spans="1:9" ht="13" thickBot="1" x14ac:dyDescent="0.3">
      <c r="A45" s="84" t="s">
        <v>107</v>
      </c>
      <c r="B45" s="85"/>
      <c r="C45" s="85"/>
      <c r="D45" s="85"/>
      <c r="E45" s="36">
        <f>IF(A45="Project has been programmed (JP number from ODOT)",1,IF(A45="Received Clearance for Letting from ROW Division",6,IF(A45="Submitted Preliminary Plans and updated costs to ODOT",5,IF(A45="Submitted ROW Plans/received environmental clearance",4,IF(A45="Plan-in-hand meeting has been held",3,IF(A45="Entity has submitted plan-in-hand plans to ODOT",2,0))))))</f>
        <v>0</v>
      </c>
      <c r="F45" s="30">
        <f>E45*3</f>
        <v>0</v>
      </c>
      <c r="I45" t="s">
        <v>31</v>
      </c>
    </row>
    <row r="46" spans="1:9" ht="13" thickBot="1" x14ac:dyDescent="0.3">
      <c r="I46" t="s">
        <v>32</v>
      </c>
    </row>
    <row r="47" spans="1:9" ht="13" x14ac:dyDescent="0.3">
      <c r="F47" s="33" t="s">
        <v>37</v>
      </c>
    </row>
    <row r="48" spans="1:9" ht="13" thickBot="1" x14ac:dyDescent="0.3">
      <c r="F48" s="34">
        <f>F45+C30+C35+F25+D13+F8+C40</f>
        <v>8.9571428571428573</v>
      </c>
      <c r="I48" t="s">
        <v>44</v>
      </c>
    </row>
    <row r="49" spans="9:9" x14ac:dyDescent="0.25">
      <c r="I49" t="s">
        <v>45</v>
      </c>
    </row>
    <row r="50" spans="9:9" x14ac:dyDescent="0.25">
      <c r="I50" t="s">
        <v>46</v>
      </c>
    </row>
    <row r="51" spans="9:9" x14ac:dyDescent="0.25">
      <c r="I51" t="s">
        <v>47</v>
      </c>
    </row>
    <row r="52" spans="9:9" x14ac:dyDescent="0.25">
      <c r="I52" t="s">
        <v>48</v>
      </c>
    </row>
    <row r="53" spans="9:9" x14ac:dyDescent="0.25">
      <c r="I53" t="s">
        <v>106</v>
      </c>
    </row>
    <row r="54" spans="9:9" x14ac:dyDescent="0.25">
      <c r="I54" t="s">
        <v>107</v>
      </c>
    </row>
  </sheetData>
  <sheetProtection selectLockedCells="1"/>
  <mergeCells count="2">
    <mergeCell ref="A45:D45"/>
    <mergeCell ref="A4:F4"/>
  </mergeCells>
  <phoneticPr fontId="0" type="noConversion"/>
  <dataValidations count="4">
    <dataValidation type="list" allowBlank="1" showInputMessage="1" showErrorMessage="1" sqref="A8">
      <formula1>$J$7:$J$9</formula1>
    </dataValidation>
    <dataValidation type="list" allowBlank="1" showInputMessage="1" showErrorMessage="1" sqref="A30">
      <formula1>$I$45:$I$46</formula1>
    </dataValidation>
    <dataValidation type="list" allowBlank="1" showInputMessage="1" showErrorMessage="1" sqref="A45">
      <formula1>$I$48:$I$54</formula1>
    </dataValidation>
    <dataValidation type="list" allowBlank="1" showInputMessage="1" showErrorMessage="1" sqref="A40">
      <formula1>$I$39:$I$40</formula1>
    </dataValidation>
  </dataValidations>
  <pageMargins left="0.75" right="0.75" top="1" bottom="1" header="0.5" footer="0.5"/>
  <pageSetup orientation="portrait" r:id="rId1"/>
  <headerFooter alignWithMargins="0"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9"/>
  <sheetViews>
    <sheetView topLeftCell="A13" zoomScale="90" workbookViewId="0">
      <selection activeCell="A25" sqref="A25"/>
    </sheetView>
  </sheetViews>
  <sheetFormatPr defaultRowHeight="12.5" x14ac:dyDescent="0.25"/>
  <cols>
    <col min="1" max="1" width="23.36328125" customWidth="1"/>
    <col min="2" max="2" width="12.453125" customWidth="1"/>
    <col min="3" max="3" width="13" customWidth="1"/>
    <col min="4" max="4" width="14.36328125" customWidth="1"/>
    <col min="5" max="5" width="15.453125" customWidth="1"/>
    <col min="6" max="6" width="12.54296875" customWidth="1"/>
    <col min="7" max="7" width="12" customWidth="1"/>
    <col min="9" max="10" width="9.08984375" hidden="1" customWidth="1"/>
  </cols>
  <sheetData>
    <row r="1" spans="1:10" ht="18" x14ac:dyDescent="0.4">
      <c r="A1" s="82" t="s">
        <v>75</v>
      </c>
      <c r="B1" s="82"/>
      <c r="C1" s="82"/>
      <c r="D1" s="82"/>
      <c r="E1" s="82"/>
      <c r="F1" s="82"/>
      <c r="G1" s="79"/>
    </row>
    <row r="2" spans="1:10" ht="18" x14ac:dyDescent="0.4">
      <c r="A2" s="79"/>
      <c r="B2" s="79"/>
      <c r="C2" s="79"/>
      <c r="D2" s="79"/>
      <c r="E2" s="79"/>
      <c r="F2" s="79"/>
      <c r="G2" s="79"/>
    </row>
    <row r="3" spans="1:10" ht="18.5" thickBot="1" x14ac:dyDescent="0.45">
      <c r="A3" s="31" t="s">
        <v>114</v>
      </c>
      <c r="B3" s="79"/>
      <c r="C3" s="79"/>
      <c r="D3" s="79"/>
      <c r="E3" s="79"/>
      <c r="F3" s="79"/>
      <c r="G3" s="79"/>
    </row>
    <row r="4" spans="1:10" ht="18.5" thickBot="1" x14ac:dyDescent="0.45">
      <c r="A4" s="87"/>
      <c r="B4" s="88"/>
      <c r="C4" s="88"/>
      <c r="D4" s="88"/>
      <c r="E4" s="88"/>
      <c r="F4" s="89"/>
      <c r="G4" s="79"/>
    </row>
    <row r="6" spans="1:10" ht="13.5" thickBot="1" x14ac:dyDescent="0.35">
      <c r="A6" s="31" t="s">
        <v>0</v>
      </c>
    </row>
    <row r="7" spans="1:10" x14ac:dyDescent="0.25">
      <c r="A7" s="1" t="s">
        <v>1</v>
      </c>
      <c r="B7" s="3" t="s">
        <v>0</v>
      </c>
      <c r="C7" s="2"/>
      <c r="D7" s="2"/>
      <c r="E7" s="3" t="s">
        <v>28</v>
      </c>
      <c r="F7" s="24" t="s">
        <v>27</v>
      </c>
      <c r="J7" t="s">
        <v>39</v>
      </c>
    </row>
    <row r="8" spans="1:10" ht="13" thickBot="1" x14ac:dyDescent="0.3">
      <c r="A8" s="53" t="s">
        <v>41</v>
      </c>
      <c r="B8" s="54">
        <v>2500</v>
      </c>
      <c r="C8" s="5">
        <f>IF(A8="Principal Arterial",20000, IF(A8="Minor Arterial",12000,IF(A8="Collector",7000,IF(A8="Local",7000))))</f>
        <v>7000</v>
      </c>
      <c r="D8" s="5">
        <v>3</v>
      </c>
      <c r="E8" s="25">
        <f>IF(B8&gt;=C8,3,IF(B8&lt;C8,B8/C8*D8))</f>
        <v>1.0714285714285714</v>
      </c>
      <c r="F8" s="8">
        <f>E8*3</f>
        <v>3.2142857142857144</v>
      </c>
      <c r="J8" t="s">
        <v>40</v>
      </c>
    </row>
    <row r="9" spans="1:10" x14ac:dyDescent="0.25">
      <c r="J9" t="s">
        <v>41</v>
      </c>
    </row>
    <row r="10" spans="1:10" x14ac:dyDescent="0.25">
      <c r="B10" s="58"/>
    </row>
    <row r="11" spans="1:10" ht="13.5" thickBot="1" x14ac:dyDescent="0.35">
      <c r="A11" s="7" t="s">
        <v>3</v>
      </c>
    </row>
    <row r="12" spans="1:10" x14ac:dyDescent="0.25">
      <c r="A12" s="1" t="s">
        <v>4</v>
      </c>
      <c r="B12" s="3" t="s">
        <v>3</v>
      </c>
      <c r="C12" s="3" t="s">
        <v>28</v>
      </c>
      <c r="D12" s="24" t="s">
        <v>2</v>
      </c>
    </row>
    <row r="13" spans="1:10" ht="13" thickBot="1" x14ac:dyDescent="0.3">
      <c r="A13" s="53">
        <v>7000</v>
      </c>
      <c r="B13" s="10">
        <f>B8/A13</f>
        <v>0.35714285714285715</v>
      </c>
      <c r="C13" s="25">
        <f>IF(B13&gt;=1.3,3,IF(B13&lt;0.49,0,3-((1.3-B13)*100*0.037)))</f>
        <v>0</v>
      </c>
      <c r="D13" s="8">
        <f>C13*3</f>
        <v>0</v>
      </c>
    </row>
    <row r="14" spans="1:10" x14ac:dyDescent="0.25">
      <c r="A14" s="17"/>
      <c r="B14" s="17"/>
      <c r="C14" s="17"/>
      <c r="D14" s="23"/>
      <c r="E14" s="11"/>
    </row>
    <row r="15" spans="1:10" x14ac:dyDescent="0.25">
      <c r="G15" s="17"/>
    </row>
    <row r="16" spans="1:10" ht="13.5" thickBot="1" x14ac:dyDescent="0.35">
      <c r="A16" s="9" t="s">
        <v>30</v>
      </c>
      <c r="G16" s="17"/>
    </row>
    <row r="17" spans="1:9" x14ac:dyDescent="0.25">
      <c r="A17" s="13"/>
      <c r="B17" s="3" t="s">
        <v>28</v>
      </c>
      <c r="C17" s="24" t="s">
        <v>27</v>
      </c>
      <c r="G17" s="17"/>
      <c r="I17" t="s">
        <v>50</v>
      </c>
    </row>
    <row r="18" spans="1:9" ht="13" thickBot="1" x14ac:dyDescent="0.3">
      <c r="A18" s="62" t="s">
        <v>51</v>
      </c>
      <c r="B18" s="5">
        <f>IF(A18="Moderate",2,IF(A18="Low",1,0))</f>
        <v>1</v>
      </c>
      <c r="C18" s="30">
        <f>B18*2</f>
        <v>2</v>
      </c>
      <c r="G18" s="17"/>
      <c r="I18" t="s">
        <v>51</v>
      </c>
    </row>
    <row r="19" spans="1:9" x14ac:dyDescent="0.25">
      <c r="G19" s="17"/>
      <c r="I19" t="s">
        <v>36</v>
      </c>
    </row>
    <row r="20" spans="1:9" x14ac:dyDescent="0.25">
      <c r="G20" s="17"/>
    </row>
    <row r="21" spans="1:9" ht="13.5" thickBot="1" x14ac:dyDescent="0.35">
      <c r="A21" s="9" t="s">
        <v>85</v>
      </c>
      <c r="G21" s="17"/>
    </row>
    <row r="22" spans="1:9" x14ac:dyDescent="0.25">
      <c r="A22" s="13"/>
      <c r="B22" s="3" t="s">
        <v>28</v>
      </c>
      <c r="C22" s="24" t="s">
        <v>27</v>
      </c>
      <c r="G22" s="17"/>
      <c r="I22" t="s">
        <v>96</v>
      </c>
    </row>
    <row r="23" spans="1:9" ht="13" thickBot="1" x14ac:dyDescent="0.3">
      <c r="A23" s="57" t="s">
        <v>96</v>
      </c>
      <c r="B23" s="5">
        <f>IF(A23="Neutral",0,IF(A23="Low",1,0))</f>
        <v>0</v>
      </c>
      <c r="C23" s="30">
        <f>B23*1</f>
        <v>0</v>
      </c>
      <c r="G23" s="17"/>
      <c r="I23" t="s">
        <v>50</v>
      </c>
    </row>
    <row r="24" spans="1:9" x14ac:dyDescent="0.25">
      <c r="G24" s="17"/>
    </row>
    <row r="25" spans="1:9" ht="13.5" thickBot="1" x14ac:dyDescent="0.35">
      <c r="A25" s="9" t="s">
        <v>98</v>
      </c>
      <c r="G25" s="17"/>
    </row>
    <row r="26" spans="1:9" x14ac:dyDescent="0.25">
      <c r="A26" s="40" t="s">
        <v>100</v>
      </c>
      <c r="B26" s="14"/>
      <c r="C26" s="3" t="s">
        <v>28</v>
      </c>
      <c r="D26" s="24" t="s">
        <v>27</v>
      </c>
      <c r="G26" s="17"/>
      <c r="I26" s="67" t="s">
        <v>103</v>
      </c>
    </row>
    <row r="27" spans="1:9" x14ac:dyDescent="0.25">
      <c r="A27" s="70" t="s">
        <v>105</v>
      </c>
      <c r="B27" s="71" t="s">
        <v>97</v>
      </c>
      <c r="C27" s="4">
        <f>IF(B27="Yes",1,IF(B27="No",0,0))</f>
        <v>0</v>
      </c>
      <c r="D27" s="68">
        <f>C27*3</f>
        <v>0</v>
      </c>
      <c r="E27" s="6"/>
      <c r="F27" s="6"/>
      <c r="G27" s="17"/>
      <c r="I27" s="67" t="s">
        <v>104</v>
      </c>
    </row>
    <row r="28" spans="1:9" x14ac:dyDescent="0.25">
      <c r="A28" s="70"/>
      <c r="B28" s="73"/>
      <c r="C28" s="22"/>
      <c r="D28" s="37"/>
      <c r="E28" s="6"/>
      <c r="F28" s="6"/>
      <c r="G28" s="17"/>
      <c r="I28" s="67" t="s">
        <v>102</v>
      </c>
    </row>
    <row r="29" spans="1:9" ht="13" thickBot="1" x14ac:dyDescent="0.3">
      <c r="A29" s="20" t="s">
        <v>101</v>
      </c>
      <c r="B29" s="74" t="s">
        <v>102</v>
      </c>
      <c r="C29" s="75">
        <f>IF(B29="Both sides",1,IF(B29="One side",0,IF(B29="No sidewalk",-1,0)))</f>
        <v>-1</v>
      </c>
      <c r="D29" s="69">
        <f>C29*3</f>
        <v>-3</v>
      </c>
      <c r="G29" s="17"/>
    </row>
    <row r="30" spans="1:9" x14ac:dyDescent="0.25">
      <c r="G30" s="17"/>
      <c r="I30" t="s">
        <v>97</v>
      </c>
    </row>
    <row r="31" spans="1:9" x14ac:dyDescent="0.25">
      <c r="G31" s="17"/>
      <c r="I31" t="s">
        <v>99</v>
      </c>
    </row>
    <row r="33" spans="1:9" ht="13.5" thickBot="1" x14ac:dyDescent="0.35">
      <c r="A33" s="9" t="s">
        <v>35</v>
      </c>
    </row>
    <row r="34" spans="1:9" x14ac:dyDescent="0.25">
      <c r="A34" s="13"/>
      <c r="B34" s="14"/>
      <c r="C34" s="14"/>
      <c r="D34" s="14"/>
      <c r="E34" s="3" t="s">
        <v>28</v>
      </c>
      <c r="F34" s="24" t="s">
        <v>27</v>
      </c>
    </row>
    <row r="35" spans="1:9" ht="13" thickBot="1" x14ac:dyDescent="0.3">
      <c r="A35" s="84" t="s">
        <v>106</v>
      </c>
      <c r="B35" s="85"/>
      <c r="C35" s="85"/>
      <c r="D35" s="85"/>
      <c r="E35" s="36">
        <f>IF(A35="Project has been programmed (JP number from ODOT)",1,IF(A35="Received Clearance for Letting from ROW Division",6,IF(A35="Submitted Preliminary Plans and updated costs to ODOT",5,IF(A35="Submitted ROW Plans/received environmental clearance",4,IF(A35="Plan-in-hand meeting has been held",3,IF(A35="Entity has submitted plan-in-hand plans to ODOT",2,0))))))</f>
        <v>1</v>
      </c>
      <c r="F35" s="30">
        <f>E35*3</f>
        <v>3</v>
      </c>
    </row>
    <row r="36" spans="1:9" ht="13" thickBot="1" x14ac:dyDescent="0.3"/>
    <row r="37" spans="1:9" ht="13" x14ac:dyDescent="0.3">
      <c r="F37" s="33" t="s">
        <v>37</v>
      </c>
    </row>
    <row r="38" spans="1:9" ht="13" thickBot="1" x14ac:dyDescent="0.3">
      <c r="F38" s="34">
        <f>F35+C18+D13+F8+C23+D29+D27</f>
        <v>5.2142857142857153</v>
      </c>
      <c r="I38" t="s">
        <v>42</v>
      </c>
    </row>
    <row r="39" spans="1:9" x14ac:dyDescent="0.25">
      <c r="I39" t="s">
        <v>43</v>
      </c>
    </row>
    <row r="40" spans="1:9" x14ac:dyDescent="0.25">
      <c r="I40" t="s">
        <v>31</v>
      </c>
    </row>
    <row r="41" spans="1:9" x14ac:dyDescent="0.25">
      <c r="I41" t="s">
        <v>32</v>
      </c>
    </row>
    <row r="43" spans="1:9" x14ac:dyDescent="0.25">
      <c r="I43" t="s">
        <v>44</v>
      </c>
    </row>
    <row r="44" spans="1:9" x14ac:dyDescent="0.25">
      <c r="I44" t="s">
        <v>45</v>
      </c>
    </row>
    <row r="45" spans="1:9" x14ac:dyDescent="0.25">
      <c r="I45" t="s">
        <v>46</v>
      </c>
    </row>
    <row r="46" spans="1:9" x14ac:dyDescent="0.25">
      <c r="I46" t="s">
        <v>47</v>
      </c>
    </row>
    <row r="47" spans="1:9" x14ac:dyDescent="0.25">
      <c r="I47" t="s">
        <v>48</v>
      </c>
    </row>
    <row r="48" spans="1:9" x14ac:dyDescent="0.25">
      <c r="I48" t="s">
        <v>106</v>
      </c>
    </row>
    <row r="49" spans="9:9" x14ac:dyDescent="0.25">
      <c r="I49" t="s">
        <v>107</v>
      </c>
    </row>
  </sheetData>
  <sheetProtection selectLockedCells="1"/>
  <mergeCells count="2">
    <mergeCell ref="A35:D35"/>
    <mergeCell ref="A4:F4"/>
  </mergeCells>
  <phoneticPr fontId="0" type="noConversion"/>
  <dataValidations count="5">
    <dataValidation type="list" allowBlank="1" showInputMessage="1" showErrorMessage="1" sqref="A35">
      <formula1>$I$43:$I$49</formula1>
    </dataValidation>
    <dataValidation type="list" allowBlank="1" showInputMessage="1" showErrorMessage="1" sqref="B27:B28">
      <formula1>$I$30:$I$31</formula1>
    </dataValidation>
    <dataValidation type="list" allowBlank="1" showInputMessage="1" showErrorMessage="1" sqref="B29">
      <formula1>$I$26:$I$28</formula1>
    </dataValidation>
    <dataValidation type="list" allowBlank="1" showInputMessage="1" showErrorMessage="1" sqref="A8">
      <formula1>$J$7:$J$9</formula1>
    </dataValidation>
    <dataValidation type="list" allowBlank="1" showInputMessage="1" showErrorMessage="1" sqref="A23">
      <formula1>$I$22:$I$23</formula1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tabSelected="1" topLeftCell="A37" zoomScaleNormal="100" workbookViewId="0">
      <selection activeCell="G51" sqref="G51"/>
    </sheetView>
  </sheetViews>
  <sheetFormatPr defaultRowHeight="12.5" x14ac:dyDescent="0.25"/>
  <cols>
    <col min="1" max="1" width="33.6328125" customWidth="1"/>
    <col min="2" max="2" width="12.453125" customWidth="1"/>
    <col min="3" max="3" width="13" customWidth="1"/>
    <col min="4" max="4" width="14.36328125" customWidth="1"/>
    <col min="5" max="5" width="15.453125" customWidth="1"/>
    <col min="6" max="6" width="12.54296875" customWidth="1"/>
    <col min="7" max="7" width="12" customWidth="1"/>
    <col min="8" max="10" width="9.08984375" hidden="1" customWidth="1"/>
  </cols>
  <sheetData>
    <row r="1" spans="1:11" ht="18" x14ac:dyDescent="0.4">
      <c r="A1" s="82" t="s">
        <v>76</v>
      </c>
      <c r="B1" s="82"/>
      <c r="C1" s="82"/>
      <c r="D1" s="82"/>
      <c r="E1" s="82"/>
      <c r="F1" s="82"/>
      <c r="G1" s="81"/>
    </row>
    <row r="2" spans="1:11" ht="9" customHeight="1" x14ac:dyDescent="0.4">
      <c r="A2" s="79"/>
      <c r="B2" s="79"/>
      <c r="C2" s="79"/>
      <c r="D2" s="79"/>
      <c r="E2" s="79"/>
      <c r="F2" s="79"/>
      <c r="G2" s="79"/>
    </row>
    <row r="3" spans="1:11" ht="18.5" thickBot="1" x14ac:dyDescent="0.45">
      <c r="A3" s="31" t="s">
        <v>114</v>
      </c>
      <c r="B3" s="79"/>
      <c r="C3" s="79"/>
      <c r="D3" s="79"/>
      <c r="E3" s="79"/>
      <c r="F3" s="79"/>
      <c r="G3" s="79"/>
    </row>
    <row r="4" spans="1:11" ht="18.5" thickBot="1" x14ac:dyDescent="0.45">
      <c r="A4" s="87"/>
      <c r="B4" s="88"/>
      <c r="C4" s="88"/>
      <c r="D4" s="88"/>
      <c r="E4" s="88"/>
      <c r="F4" s="89"/>
      <c r="G4" s="79"/>
    </row>
    <row r="6" spans="1:11" ht="13.5" thickBot="1" x14ac:dyDescent="0.35">
      <c r="A6" s="31" t="s">
        <v>0</v>
      </c>
    </row>
    <row r="7" spans="1:11" x14ac:dyDescent="0.25">
      <c r="A7" s="1" t="s">
        <v>1</v>
      </c>
      <c r="B7" s="3" t="s">
        <v>0</v>
      </c>
      <c r="C7" s="2"/>
      <c r="D7" s="2"/>
      <c r="E7" s="3" t="s">
        <v>28</v>
      </c>
      <c r="F7" s="24" t="s">
        <v>27</v>
      </c>
    </row>
    <row r="8" spans="1:11" ht="13" thickBot="1" x14ac:dyDescent="0.3">
      <c r="A8" s="53" t="s">
        <v>39</v>
      </c>
      <c r="B8" s="54">
        <v>2200</v>
      </c>
      <c r="C8" s="5">
        <f>IF(A8="Principal Arterial",20000, IF(A8="Minor Arterial",12000,IF(A8="Collector",7000,IF(A8="Local",7000))))</f>
        <v>20000</v>
      </c>
      <c r="D8" s="5">
        <v>3</v>
      </c>
      <c r="E8" s="25">
        <f>IF(B8&gt;=C8,3,IF(B8&lt;C8,B8/C8*D8))</f>
        <v>0.33</v>
      </c>
      <c r="F8" s="8">
        <f>E8*2</f>
        <v>0.66</v>
      </c>
    </row>
    <row r="10" spans="1:11" ht="8" customHeight="1" x14ac:dyDescent="0.25"/>
    <row r="11" spans="1:11" ht="13.5" thickBot="1" x14ac:dyDescent="0.35">
      <c r="A11" s="7" t="s">
        <v>3</v>
      </c>
      <c r="K11" t="s">
        <v>39</v>
      </c>
    </row>
    <row r="12" spans="1:11" x14ac:dyDescent="0.25">
      <c r="A12" s="1" t="s">
        <v>4</v>
      </c>
      <c r="B12" s="3" t="s">
        <v>3</v>
      </c>
      <c r="C12" s="3" t="s">
        <v>28</v>
      </c>
      <c r="D12" s="24" t="s">
        <v>2</v>
      </c>
      <c r="K12" t="s">
        <v>40</v>
      </c>
    </row>
    <row r="13" spans="1:11" ht="13" thickBot="1" x14ac:dyDescent="0.3">
      <c r="A13" s="53">
        <v>10000</v>
      </c>
      <c r="B13" s="10">
        <f>B8/A13</f>
        <v>0.22</v>
      </c>
      <c r="C13" s="25">
        <f>IF(B13&gt;=1.3,3,IF(B13&lt;0.49,0,3-((1.3-B13)*100*0.037)))</f>
        <v>0</v>
      </c>
      <c r="D13" s="8">
        <f>C13*2</f>
        <v>0</v>
      </c>
      <c r="K13" t="s">
        <v>41</v>
      </c>
    </row>
    <row r="14" spans="1:11" x14ac:dyDescent="0.25">
      <c r="A14" s="17"/>
      <c r="B14" s="17"/>
      <c r="C14" s="17"/>
      <c r="D14" s="23"/>
      <c r="E14" s="11"/>
      <c r="K14" t="s">
        <v>49</v>
      </c>
    </row>
    <row r="15" spans="1:11" ht="8" customHeight="1" x14ac:dyDescent="0.25"/>
    <row r="16" spans="1:11" ht="13.5" thickBot="1" x14ac:dyDescent="0.35">
      <c r="A16" s="9" t="s">
        <v>6</v>
      </c>
      <c r="B16" s="6"/>
      <c r="C16" s="6"/>
    </row>
    <row r="17" spans="1:9" x14ac:dyDescent="0.25">
      <c r="A17" s="13"/>
      <c r="B17" s="3" t="s">
        <v>7</v>
      </c>
      <c r="C17" s="3" t="s">
        <v>8</v>
      </c>
      <c r="D17" s="14"/>
      <c r="E17" s="14"/>
      <c r="F17" s="15"/>
      <c r="G17" s="17"/>
    </row>
    <row r="18" spans="1:9" x14ac:dyDescent="0.25">
      <c r="A18" s="16" t="s">
        <v>9</v>
      </c>
      <c r="B18" s="55">
        <v>0</v>
      </c>
      <c r="C18" s="4">
        <f>2*B18</f>
        <v>0</v>
      </c>
      <c r="D18" s="17"/>
      <c r="E18" s="17" t="s">
        <v>13</v>
      </c>
      <c r="F18" s="37">
        <f>B8</f>
        <v>2200</v>
      </c>
      <c r="G18" s="17"/>
    </row>
    <row r="19" spans="1:9" x14ac:dyDescent="0.25">
      <c r="A19" s="16" t="s">
        <v>11</v>
      </c>
      <c r="B19" s="55">
        <v>2</v>
      </c>
      <c r="C19" s="19">
        <f>4*B19</f>
        <v>8</v>
      </c>
      <c r="D19" s="17"/>
      <c r="E19" s="17"/>
      <c r="F19" s="18"/>
      <c r="G19" s="17"/>
    </row>
    <row r="20" spans="1:9" x14ac:dyDescent="0.25">
      <c r="A20" s="16"/>
      <c r="B20" s="17"/>
      <c r="C20" s="23">
        <f>SUM(C18:C19)/3</f>
        <v>2.6666666666666665</v>
      </c>
      <c r="D20" s="17"/>
      <c r="E20" s="17" t="s">
        <v>84</v>
      </c>
      <c r="F20" s="56">
        <f>33/5280</f>
        <v>6.2500000000000003E-3</v>
      </c>
      <c r="G20" s="17"/>
    </row>
    <row r="21" spans="1:9" x14ac:dyDescent="0.25">
      <c r="A21" s="16"/>
      <c r="B21" s="17"/>
      <c r="C21" s="17"/>
      <c r="D21" s="17"/>
      <c r="E21" s="17"/>
      <c r="F21" s="18"/>
      <c r="G21" s="17"/>
    </row>
    <row r="22" spans="1:9" x14ac:dyDescent="0.25">
      <c r="A22" s="16"/>
      <c r="B22" s="17"/>
      <c r="C22" s="17"/>
      <c r="D22" s="17"/>
      <c r="E22" s="17"/>
      <c r="F22" s="18"/>
      <c r="G22" s="17"/>
    </row>
    <row r="23" spans="1:9" ht="13" x14ac:dyDescent="0.3">
      <c r="A23" s="16" t="s">
        <v>14</v>
      </c>
      <c r="B23" s="23">
        <f>C20*1000000/(365*(F18)*F20)</f>
        <v>531.34080531340805</v>
      </c>
      <c r="C23" s="27"/>
      <c r="D23" s="17"/>
      <c r="E23" s="17"/>
      <c r="F23" s="18"/>
      <c r="G23" s="17"/>
    </row>
    <row r="24" spans="1:9" x14ac:dyDescent="0.25">
      <c r="A24" s="16"/>
      <c r="B24" s="17"/>
      <c r="C24" s="17"/>
      <c r="D24" s="17"/>
      <c r="E24" s="19" t="s">
        <v>28</v>
      </c>
      <c r="F24" s="29" t="s">
        <v>2</v>
      </c>
      <c r="G24" s="17"/>
    </row>
    <row r="25" spans="1:9" ht="13" thickBot="1" x14ac:dyDescent="0.3">
      <c r="A25" s="20"/>
      <c r="B25" s="21"/>
      <c r="C25" s="21"/>
      <c r="D25" s="5" t="s">
        <v>15</v>
      </c>
      <c r="E25" s="25">
        <f>IF(B23&gt;=12,3,IF(B23&lt;3,0,3-((12-B23)*10*0.033)))</f>
        <v>3</v>
      </c>
      <c r="F25" s="8">
        <f>E25*3</f>
        <v>9</v>
      </c>
      <c r="G25" s="17"/>
    </row>
    <row r="27" spans="1:9" ht="8" customHeight="1" x14ac:dyDescent="0.25">
      <c r="I27" t="s">
        <v>50</v>
      </c>
    </row>
    <row r="28" spans="1:9" ht="13.5" thickBot="1" x14ac:dyDescent="0.35">
      <c r="A28" s="9" t="s">
        <v>33</v>
      </c>
      <c r="I28" t="s">
        <v>51</v>
      </c>
    </row>
    <row r="29" spans="1:9" x14ac:dyDescent="0.25">
      <c r="A29" s="13"/>
      <c r="B29" s="3" t="s">
        <v>28</v>
      </c>
      <c r="C29" s="24" t="s">
        <v>27</v>
      </c>
      <c r="H29" t="s">
        <v>50</v>
      </c>
      <c r="I29" t="s">
        <v>36</v>
      </c>
    </row>
    <row r="30" spans="1:9" ht="13" thickBot="1" x14ac:dyDescent="0.3">
      <c r="A30" s="57" t="s">
        <v>32</v>
      </c>
      <c r="B30" s="5">
        <f>IF(A30="Poor",2,IF(A30="Fair",1,0))</f>
        <v>2</v>
      </c>
      <c r="C30" s="30">
        <f>B30*1</f>
        <v>2</v>
      </c>
      <c r="H30" t="s">
        <v>51</v>
      </c>
    </row>
    <row r="31" spans="1:9" x14ac:dyDescent="0.25">
      <c r="H31" t="s">
        <v>36</v>
      </c>
    </row>
    <row r="32" spans="1:9" ht="8" customHeight="1" x14ac:dyDescent="0.25"/>
    <row r="33" spans="1:11" ht="13.5" thickBot="1" x14ac:dyDescent="0.35">
      <c r="A33" s="9" t="s">
        <v>30</v>
      </c>
      <c r="I33" t="s">
        <v>42</v>
      </c>
    </row>
    <row r="34" spans="1:11" x14ac:dyDescent="0.25">
      <c r="A34" s="13"/>
      <c r="B34" s="3" t="s">
        <v>28</v>
      </c>
      <c r="C34" s="24" t="s">
        <v>27</v>
      </c>
      <c r="I34" t="s">
        <v>43</v>
      </c>
    </row>
    <row r="35" spans="1:11" ht="13" thickBot="1" x14ac:dyDescent="0.3">
      <c r="A35" s="62" t="str">
        <f>IF(A30="Fair","Low",IF(A30="Good","Low",IF(A30="Poor","Moderate",IF(A30="Very Good","Neutral"))))</f>
        <v>Moderate</v>
      </c>
      <c r="B35" s="5">
        <f>IF(A35="Moderate",2,IF(A35="Low",1,0))</f>
        <v>2</v>
      </c>
      <c r="C35" s="30">
        <f>B35*1</f>
        <v>2</v>
      </c>
      <c r="H35" t="s">
        <v>42</v>
      </c>
      <c r="I35" t="s">
        <v>31</v>
      </c>
    </row>
    <row r="36" spans="1:11" x14ac:dyDescent="0.25">
      <c r="H36" t="s">
        <v>43</v>
      </c>
      <c r="I36" t="s">
        <v>32</v>
      </c>
    </row>
    <row r="37" spans="1:11" x14ac:dyDescent="0.25">
      <c r="H37" t="s">
        <v>31</v>
      </c>
    </row>
    <row r="38" spans="1:11" ht="13.5" thickBot="1" x14ac:dyDescent="0.35">
      <c r="A38" s="9" t="s">
        <v>119</v>
      </c>
      <c r="H38" t="s">
        <v>32</v>
      </c>
      <c r="K38" s="58"/>
    </row>
    <row r="39" spans="1:11" x14ac:dyDescent="0.25">
      <c r="A39" s="13"/>
      <c r="B39" s="3" t="s">
        <v>28</v>
      </c>
      <c r="C39" s="24" t="s">
        <v>27</v>
      </c>
    </row>
    <row r="40" spans="1:11" ht="13" thickBot="1" x14ac:dyDescent="0.3">
      <c r="A40" s="53">
        <v>40</v>
      </c>
      <c r="B40" s="5">
        <f>IF(A40&lt;=50,3,IF(A40&gt;=81,0,(3-((A40-50)*0.097))))</f>
        <v>3</v>
      </c>
      <c r="C40" s="30">
        <f>B40*3</f>
        <v>9</v>
      </c>
    </row>
    <row r="43" spans="1:11" ht="13.5" thickBot="1" x14ac:dyDescent="0.35">
      <c r="A43" s="9" t="s">
        <v>108</v>
      </c>
    </row>
    <row r="44" spans="1:11" x14ac:dyDescent="0.25">
      <c r="A44" s="13"/>
      <c r="B44" s="3" t="s">
        <v>28</v>
      </c>
      <c r="C44" s="24" t="s">
        <v>27</v>
      </c>
    </row>
    <row r="45" spans="1:11" ht="13" thickBot="1" x14ac:dyDescent="0.3">
      <c r="A45" s="76" t="s">
        <v>113</v>
      </c>
      <c r="B45" s="5">
        <f>IF(A45="Rating of 0,1,2",3,IF(A45="Rating of 3,4,5",2,IF(A45="Rating of 6,7,8",1,IF(A45="Rating of 9",0))))</f>
        <v>0</v>
      </c>
      <c r="C45" s="69">
        <f>B45*2</f>
        <v>0</v>
      </c>
      <c r="D45" s="78"/>
    </row>
    <row r="48" spans="1:11" ht="13.5" thickBot="1" x14ac:dyDescent="0.35">
      <c r="A48" s="9" t="s">
        <v>115</v>
      </c>
    </row>
    <row r="49" spans="1:10" x14ac:dyDescent="0.25">
      <c r="A49" s="13"/>
      <c r="B49" s="3" t="s">
        <v>28</v>
      </c>
      <c r="C49" s="24" t="s">
        <v>27</v>
      </c>
      <c r="J49" s="67" t="s">
        <v>116</v>
      </c>
    </row>
    <row r="50" spans="1:10" ht="13" thickBot="1" x14ac:dyDescent="0.3">
      <c r="A50" s="83" t="s">
        <v>116</v>
      </c>
      <c r="B50" s="5">
        <f>IF(A50="Bridge is considered structurally deficient",3,IF(A50="Bridge is NOT considered structurally deficient",0))</f>
        <v>3</v>
      </c>
      <c r="C50" s="69">
        <f>B50*1</f>
        <v>3</v>
      </c>
      <c r="J50" s="67" t="s">
        <v>117</v>
      </c>
    </row>
    <row r="51" spans="1:10" x14ac:dyDescent="0.25">
      <c r="A51" s="17"/>
      <c r="B51" s="17"/>
      <c r="C51" s="17"/>
    </row>
    <row r="53" spans="1:10" ht="13.5" thickBot="1" x14ac:dyDescent="0.35">
      <c r="A53" s="9" t="s">
        <v>109</v>
      </c>
      <c r="H53" t="s">
        <v>96</v>
      </c>
    </row>
    <row r="54" spans="1:10" x14ac:dyDescent="0.25">
      <c r="A54" s="13"/>
      <c r="B54" s="3" t="s">
        <v>28</v>
      </c>
      <c r="C54" s="24" t="s">
        <v>27</v>
      </c>
      <c r="H54" t="s">
        <v>51</v>
      </c>
    </row>
    <row r="55" spans="1:10" ht="13" thickBot="1" x14ac:dyDescent="0.3">
      <c r="A55" s="57" t="s">
        <v>96</v>
      </c>
      <c r="B55" s="5">
        <f>IF(A55="Moderate",2,IF(A55="Low",1,0))</f>
        <v>0</v>
      </c>
      <c r="C55" s="30">
        <f>B55*1</f>
        <v>0</v>
      </c>
    </row>
    <row r="58" spans="1:10" ht="13.5" thickBot="1" x14ac:dyDescent="0.35">
      <c r="A58" s="9" t="s">
        <v>35</v>
      </c>
      <c r="I58" t="s">
        <v>44</v>
      </c>
    </row>
    <row r="59" spans="1:10" x14ac:dyDescent="0.25">
      <c r="A59" s="13"/>
      <c r="B59" s="14"/>
      <c r="C59" s="14"/>
      <c r="D59" s="14"/>
      <c r="E59" s="3" t="s">
        <v>28</v>
      </c>
      <c r="F59" s="24" t="s">
        <v>27</v>
      </c>
      <c r="I59" t="s">
        <v>45</v>
      </c>
    </row>
    <row r="60" spans="1:10" ht="13" thickBot="1" x14ac:dyDescent="0.3">
      <c r="A60" s="84" t="s">
        <v>107</v>
      </c>
      <c r="B60" s="85"/>
      <c r="C60" s="85"/>
      <c r="D60" s="85"/>
      <c r="E60" s="36">
        <f>IF(A60="Project has been programmed (JP number from ODOT)",1,IF(A60="Received Clearance for Letting from ROW Division",6,IF(A60="Submitted Preliminary Plans and updated costs to ODOT",5,IF(A60="Submitted ROW Plans/received environmental clearance",4,IF(A60="Plan-in-hand meeting has been held",3,IF(A60="Entity has submitted plan-in-hand plans to ODOT",2,0))))))</f>
        <v>0</v>
      </c>
      <c r="F60" s="30">
        <f>E60*3</f>
        <v>0</v>
      </c>
      <c r="I60" t="s">
        <v>46</v>
      </c>
    </row>
    <row r="61" spans="1:10" ht="13" thickBot="1" x14ac:dyDescent="0.3">
      <c r="I61" t="s">
        <v>47</v>
      </c>
    </row>
    <row r="62" spans="1:10" ht="13" x14ac:dyDescent="0.3">
      <c r="F62" s="33" t="s">
        <v>37</v>
      </c>
      <c r="I62" t="s">
        <v>48</v>
      </c>
    </row>
    <row r="63" spans="1:10" ht="13" thickBot="1" x14ac:dyDescent="0.3">
      <c r="F63" s="34">
        <f>D13+F25+C30+C35+C40+C50+C55+F60+F8+C45</f>
        <v>25.66</v>
      </c>
      <c r="G63" s="78"/>
      <c r="I63" t="s">
        <v>106</v>
      </c>
    </row>
    <row r="64" spans="1:10" x14ac:dyDescent="0.25">
      <c r="I64" t="s">
        <v>107</v>
      </c>
    </row>
  </sheetData>
  <sheetProtection selectLockedCells="1"/>
  <mergeCells count="2">
    <mergeCell ref="A60:D60"/>
    <mergeCell ref="A4:F4"/>
  </mergeCells>
  <phoneticPr fontId="0" type="noConversion"/>
  <dataValidations count="6">
    <dataValidation type="list" allowBlank="1" showInputMessage="1" showErrorMessage="1" sqref="A8">
      <formula1>FunctionalClass</formula1>
    </dataValidation>
    <dataValidation type="list" allowBlank="1" showInputMessage="1" showErrorMessage="1" sqref="A60">
      <formula1>$I$58:$I$64</formula1>
    </dataValidation>
    <dataValidation type="list" allowBlank="1" showInputMessage="1" showErrorMessage="1" sqref="A30">
      <formula1>$H$35:$H$38</formula1>
    </dataValidation>
    <dataValidation type="list" allowBlank="1" showInputMessage="1" showErrorMessage="1" sqref="A55">
      <formula1>$H$53:$H$54</formula1>
    </dataValidation>
    <dataValidation type="list" allowBlank="1" showErrorMessage="1" sqref="A45">
      <formula1>WaterwayAdequacy</formula1>
    </dataValidation>
    <dataValidation type="list" showErrorMessage="1" sqref="A50">
      <formula1>StructuralDeficiency</formula1>
    </dataValidation>
  </dataValidations>
  <pageMargins left="0.56999999999999995" right="0.64" top="0.5" bottom="0.5" header="0.5" footer="0.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opLeftCell="A4" workbookViewId="0">
      <selection activeCell="E12" sqref="E12"/>
    </sheetView>
  </sheetViews>
  <sheetFormatPr defaultRowHeight="12.5" x14ac:dyDescent="0.25"/>
  <cols>
    <col min="1" max="1" width="30" customWidth="1"/>
    <col min="2" max="2" width="12.453125" customWidth="1"/>
    <col min="3" max="3" width="13" customWidth="1"/>
    <col min="4" max="4" width="15.453125" customWidth="1"/>
    <col min="5" max="5" width="12.54296875" customWidth="1"/>
    <col min="6" max="6" width="12" customWidth="1"/>
    <col min="8" max="8" width="9.08984375" hidden="1" customWidth="1"/>
    <col min="9" max="9" width="10.54296875" hidden="1" customWidth="1"/>
  </cols>
  <sheetData>
    <row r="1" spans="1:8" ht="18" x14ac:dyDescent="0.4">
      <c r="A1" s="82" t="s">
        <v>118</v>
      </c>
      <c r="B1" s="82"/>
      <c r="C1" s="82"/>
      <c r="D1" s="82"/>
      <c r="E1" s="82"/>
      <c r="F1" s="79"/>
    </row>
    <row r="2" spans="1:8" ht="18" x14ac:dyDescent="0.4">
      <c r="A2" s="79"/>
      <c r="B2" s="79"/>
      <c r="C2" s="79"/>
      <c r="D2" s="79"/>
      <c r="E2" s="79"/>
      <c r="F2" s="79"/>
    </row>
    <row r="3" spans="1:8" ht="18.5" thickBot="1" x14ac:dyDescent="0.45">
      <c r="A3" s="31" t="s">
        <v>114</v>
      </c>
      <c r="B3" s="79"/>
      <c r="C3" s="79"/>
      <c r="D3" s="79"/>
      <c r="E3" s="79"/>
      <c r="F3" s="79"/>
    </row>
    <row r="4" spans="1:8" ht="18.5" thickBot="1" x14ac:dyDescent="0.45">
      <c r="A4" s="87"/>
      <c r="B4" s="88"/>
      <c r="C4" s="88"/>
      <c r="D4" s="88"/>
      <c r="E4" s="89"/>
      <c r="F4" s="79"/>
    </row>
    <row r="6" spans="1:8" ht="13.5" thickBot="1" x14ac:dyDescent="0.35">
      <c r="A6" s="31" t="s">
        <v>91</v>
      </c>
    </row>
    <row r="7" spans="1:8" ht="13" x14ac:dyDescent="0.3">
      <c r="A7" s="1" t="s">
        <v>1</v>
      </c>
      <c r="B7" s="3" t="s">
        <v>28</v>
      </c>
      <c r="C7" s="24" t="s">
        <v>27</v>
      </c>
      <c r="F7" s="7"/>
    </row>
    <row r="8" spans="1:8" ht="13" thickBot="1" x14ac:dyDescent="0.3">
      <c r="A8" s="53" t="s">
        <v>87</v>
      </c>
      <c r="B8" s="25">
        <f>IF(A8="Included in Comp Plan",3,IF(A8="Connects to other Facilities",2,IF(A8="No connection to other Facilities",1,0)))</f>
        <v>3</v>
      </c>
      <c r="C8" s="8">
        <f>B8*3</f>
        <v>9</v>
      </c>
      <c r="H8" t="s">
        <v>87</v>
      </c>
    </row>
    <row r="9" spans="1:8" x14ac:dyDescent="0.25">
      <c r="H9" t="s">
        <v>89</v>
      </c>
    </row>
    <row r="10" spans="1:8" x14ac:dyDescent="0.25">
      <c r="B10" s="58"/>
      <c r="H10" t="s">
        <v>88</v>
      </c>
    </row>
    <row r="11" spans="1:8" ht="13.5" thickBot="1" x14ac:dyDescent="0.35">
      <c r="A11" s="7" t="s">
        <v>92</v>
      </c>
      <c r="H11" t="s">
        <v>90</v>
      </c>
    </row>
    <row r="12" spans="1:8" x14ac:dyDescent="0.25">
      <c r="A12" s="1" t="s">
        <v>4</v>
      </c>
      <c r="B12" s="3" t="s">
        <v>28</v>
      </c>
      <c r="C12" s="24" t="s">
        <v>2</v>
      </c>
    </row>
    <row r="13" spans="1:8" ht="13" thickBot="1" x14ac:dyDescent="0.3">
      <c r="A13" s="53" t="s">
        <v>90</v>
      </c>
      <c r="B13" s="25">
        <f>IF(A13="Connects to other Modes",3,IF(A13="Within 1/4 mi. of other Modes",2,IF(A13="Within 1/2 mi. of other Modes",1,0)))</f>
        <v>0</v>
      </c>
      <c r="C13" s="8">
        <f>B13*1</f>
        <v>0</v>
      </c>
      <c r="H13" t="s">
        <v>93</v>
      </c>
    </row>
    <row r="14" spans="1:8" x14ac:dyDescent="0.25">
      <c r="A14" s="17"/>
      <c r="B14" s="17"/>
      <c r="C14" s="17"/>
      <c r="D14" s="11"/>
      <c r="H14" t="s">
        <v>94</v>
      </c>
    </row>
    <row r="15" spans="1:8" x14ac:dyDescent="0.25">
      <c r="F15" s="17"/>
      <c r="H15" t="s">
        <v>95</v>
      </c>
    </row>
    <row r="16" spans="1:8" ht="13.5" thickBot="1" x14ac:dyDescent="0.35">
      <c r="A16" s="9" t="s">
        <v>30</v>
      </c>
      <c r="F16" s="17"/>
      <c r="H16" t="s">
        <v>90</v>
      </c>
    </row>
    <row r="17" spans="1:8" x14ac:dyDescent="0.25">
      <c r="A17" s="13"/>
      <c r="B17" s="3" t="s">
        <v>28</v>
      </c>
      <c r="C17" s="24" t="s">
        <v>27</v>
      </c>
      <c r="F17" s="17"/>
    </row>
    <row r="18" spans="1:8" ht="13" thickBot="1" x14ac:dyDescent="0.3">
      <c r="A18" s="62" t="s">
        <v>34</v>
      </c>
      <c r="B18" s="5">
        <f>IF(A18="High",3,IF(A18="Low",1,0))</f>
        <v>3</v>
      </c>
      <c r="C18" s="30">
        <f>B18*3</f>
        <v>9</v>
      </c>
      <c r="F18" s="17"/>
    </row>
    <row r="19" spans="1:8" x14ac:dyDescent="0.25">
      <c r="F19" s="17"/>
    </row>
    <row r="20" spans="1:8" x14ac:dyDescent="0.25">
      <c r="F20" s="17"/>
    </row>
    <row r="21" spans="1:8" ht="13.5" thickBot="1" x14ac:dyDescent="0.35">
      <c r="A21" s="9" t="s">
        <v>85</v>
      </c>
      <c r="F21" s="17"/>
      <c r="H21" t="s">
        <v>96</v>
      </c>
    </row>
    <row r="22" spans="1:8" x14ac:dyDescent="0.25">
      <c r="A22" s="13"/>
      <c r="B22" s="3" t="s">
        <v>28</v>
      </c>
      <c r="C22" s="24" t="s">
        <v>27</v>
      </c>
      <c r="F22" s="17"/>
      <c r="H22" t="s">
        <v>34</v>
      </c>
    </row>
    <row r="23" spans="1:8" ht="13" thickBot="1" x14ac:dyDescent="0.3">
      <c r="A23" s="57" t="s">
        <v>96</v>
      </c>
      <c r="B23" s="5">
        <f>IF(A23="High",2,IF(A23="Low",1,0))</f>
        <v>0</v>
      </c>
      <c r="C23" s="30">
        <f>B23*1</f>
        <v>0</v>
      </c>
      <c r="F23" s="17"/>
    </row>
    <row r="24" spans="1:8" x14ac:dyDescent="0.25">
      <c r="F24" s="17"/>
    </row>
    <row r="25" spans="1:8" x14ac:dyDescent="0.25">
      <c r="H25" t="s">
        <v>50</v>
      </c>
    </row>
    <row r="26" spans="1:8" ht="13.5" thickBot="1" x14ac:dyDescent="0.35">
      <c r="A26" s="9" t="s">
        <v>35</v>
      </c>
      <c r="H26" t="s">
        <v>51</v>
      </c>
    </row>
    <row r="27" spans="1:8" x14ac:dyDescent="0.25">
      <c r="A27" s="13"/>
      <c r="B27" s="14"/>
      <c r="C27" s="14"/>
      <c r="D27" s="3" t="s">
        <v>28</v>
      </c>
      <c r="E27" s="24" t="s">
        <v>27</v>
      </c>
      <c r="H27" t="s">
        <v>36</v>
      </c>
    </row>
    <row r="28" spans="1:8" ht="13" thickBot="1" x14ac:dyDescent="0.3">
      <c r="A28" s="84" t="s">
        <v>106</v>
      </c>
      <c r="B28" s="85"/>
      <c r="C28" s="85"/>
      <c r="D28" s="36">
        <f>IF(A28="Project has been programmed (JP number from ODOT)",1,IF(A28="Received Clearance for Letting from ROW Division",6,IF(A28="Submitted Preliminary Plans and updated costs to ODOT",5,IF(A28="Submitted ROW Plans/received environmental clearance",4,IF(A28="Plan-in-hand meeting has been held",3,IF(A28="Entity has submitted plan-in-hand plans to ODOT",2,0))))))</f>
        <v>1</v>
      </c>
      <c r="E28" s="30">
        <f>D28*3</f>
        <v>3</v>
      </c>
    </row>
    <row r="29" spans="1:8" ht="13" thickBot="1" x14ac:dyDescent="0.3"/>
    <row r="30" spans="1:8" ht="13" x14ac:dyDescent="0.3">
      <c r="E30" s="33" t="s">
        <v>37</v>
      </c>
    </row>
    <row r="31" spans="1:8" ht="13" thickBot="1" x14ac:dyDescent="0.3">
      <c r="E31" s="34">
        <f>E28+C18+C13+C8+C23</f>
        <v>21</v>
      </c>
      <c r="H31" t="s">
        <v>42</v>
      </c>
    </row>
    <row r="32" spans="1:8" x14ac:dyDescent="0.25">
      <c r="H32" t="s">
        <v>43</v>
      </c>
    </row>
    <row r="33" spans="8:8" x14ac:dyDescent="0.25">
      <c r="H33" t="s">
        <v>31</v>
      </c>
    </row>
    <row r="34" spans="8:8" x14ac:dyDescent="0.25">
      <c r="H34" t="s">
        <v>32</v>
      </c>
    </row>
    <row r="36" spans="8:8" x14ac:dyDescent="0.25">
      <c r="H36" t="s">
        <v>44</v>
      </c>
    </row>
    <row r="37" spans="8:8" x14ac:dyDescent="0.25">
      <c r="H37" t="s">
        <v>45</v>
      </c>
    </row>
    <row r="38" spans="8:8" x14ac:dyDescent="0.25">
      <c r="H38" t="s">
        <v>46</v>
      </c>
    </row>
    <row r="39" spans="8:8" x14ac:dyDescent="0.25">
      <c r="H39" t="s">
        <v>47</v>
      </c>
    </row>
    <row r="40" spans="8:8" x14ac:dyDescent="0.25">
      <c r="H40" t="s">
        <v>48</v>
      </c>
    </row>
    <row r="41" spans="8:8" x14ac:dyDescent="0.25">
      <c r="H41" t="s">
        <v>106</v>
      </c>
    </row>
    <row r="42" spans="8:8" x14ac:dyDescent="0.25">
      <c r="H42" t="s">
        <v>107</v>
      </c>
    </row>
  </sheetData>
  <sheetProtection selectLockedCells="1"/>
  <mergeCells count="2">
    <mergeCell ref="A28:C28"/>
    <mergeCell ref="A4:E4"/>
  </mergeCells>
  <phoneticPr fontId="15" type="noConversion"/>
  <dataValidations count="4">
    <dataValidation type="list" allowBlank="1" showInputMessage="1" showErrorMessage="1" sqref="A28">
      <formula1>$H$36:$H$42</formula1>
    </dataValidation>
    <dataValidation type="list" allowBlank="1" showInputMessage="1" showErrorMessage="1" sqref="A8">
      <formula1>$H$8:$H$11</formula1>
    </dataValidation>
    <dataValidation type="list" allowBlank="1" showInputMessage="1" showErrorMessage="1" sqref="A13">
      <formula1>$H$13:$H$16</formula1>
    </dataValidation>
    <dataValidation type="list" allowBlank="1" showInputMessage="1" showErrorMessage="1" sqref="A23">
      <formula1>$H$21:$H$22</formula1>
    </dataValidation>
  </dataValidations>
  <printOptions horizontalCentered="1"/>
  <pageMargins left="0.42" right="0.47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topLeftCell="A19" zoomScale="91" workbookViewId="0">
      <selection activeCell="A34" sqref="A34:D34"/>
    </sheetView>
  </sheetViews>
  <sheetFormatPr defaultRowHeight="12.5" x14ac:dyDescent="0.25"/>
  <cols>
    <col min="1" max="1" width="23.6328125" customWidth="1"/>
    <col min="2" max="2" width="12.453125" customWidth="1"/>
    <col min="3" max="3" width="13" customWidth="1"/>
    <col min="4" max="4" width="15.08984375" customWidth="1"/>
    <col min="5" max="5" width="15.453125" customWidth="1"/>
    <col min="6" max="6" width="12.54296875" customWidth="1"/>
    <col min="7" max="7" width="12" customWidth="1"/>
    <col min="9" max="9" width="9.08984375" hidden="1" customWidth="1"/>
  </cols>
  <sheetData>
    <row r="1" spans="1:7" ht="18" x14ac:dyDescent="0.4">
      <c r="A1" s="82" t="s">
        <v>86</v>
      </c>
      <c r="B1" s="82"/>
      <c r="C1" s="82"/>
      <c r="D1" s="82"/>
      <c r="E1" s="82"/>
      <c r="F1" s="82"/>
      <c r="G1" s="79"/>
    </row>
    <row r="2" spans="1:7" ht="18" x14ac:dyDescent="0.4">
      <c r="A2" s="82"/>
      <c r="B2" s="82"/>
      <c r="C2" s="82"/>
      <c r="D2" s="82"/>
      <c r="E2" s="82"/>
      <c r="F2" s="82"/>
      <c r="G2" s="79"/>
    </row>
    <row r="3" spans="1:7" ht="18.5" thickBot="1" x14ac:dyDescent="0.45">
      <c r="A3" s="31" t="s">
        <v>114</v>
      </c>
      <c r="B3" s="79"/>
      <c r="C3" s="79"/>
      <c r="D3" s="79"/>
      <c r="E3" s="79"/>
      <c r="F3" s="79"/>
      <c r="G3" s="79"/>
    </row>
    <row r="4" spans="1:7" ht="18.5" thickBot="1" x14ac:dyDescent="0.45">
      <c r="A4" s="87"/>
      <c r="B4" s="88"/>
      <c r="C4" s="88"/>
      <c r="D4" s="88"/>
      <c r="E4" s="88"/>
      <c r="F4" s="89"/>
      <c r="G4" s="79"/>
    </row>
    <row r="6" spans="1:7" ht="13.5" thickBot="1" x14ac:dyDescent="0.35">
      <c r="A6" s="9" t="s">
        <v>6</v>
      </c>
      <c r="B6" s="6"/>
      <c r="C6" s="6"/>
    </row>
    <row r="7" spans="1:7" x14ac:dyDescent="0.25">
      <c r="A7" s="13"/>
      <c r="B7" s="3" t="s">
        <v>7</v>
      </c>
      <c r="C7" s="3" t="s">
        <v>8</v>
      </c>
      <c r="D7" s="14"/>
      <c r="E7" s="14"/>
      <c r="F7" s="15"/>
    </row>
    <row r="8" spans="1:7" x14ac:dyDescent="0.25">
      <c r="A8" s="16" t="s">
        <v>9</v>
      </c>
      <c r="B8" s="55">
        <v>1</v>
      </c>
      <c r="C8" s="4">
        <f>2*B8</f>
        <v>2</v>
      </c>
      <c r="E8" s="48" t="s">
        <v>13</v>
      </c>
      <c r="F8" s="66">
        <v>15000</v>
      </c>
    </row>
    <row r="9" spans="1:7" x14ac:dyDescent="0.25">
      <c r="A9" s="16" t="s">
        <v>11</v>
      </c>
      <c r="B9" s="55">
        <v>1</v>
      </c>
      <c r="C9" s="19">
        <f>4*B9</f>
        <v>4</v>
      </c>
      <c r="D9" s="17"/>
      <c r="E9" s="17"/>
      <c r="F9" s="18"/>
    </row>
    <row r="10" spans="1:7" x14ac:dyDescent="0.25">
      <c r="A10" s="16"/>
      <c r="B10" s="17"/>
      <c r="C10" s="23">
        <f>SUM(C8:C9)/3</f>
        <v>2</v>
      </c>
      <c r="E10" s="17" t="s">
        <v>84</v>
      </c>
      <c r="F10" s="56">
        <v>2</v>
      </c>
    </row>
    <row r="11" spans="1:7" x14ac:dyDescent="0.25">
      <c r="A11" s="16"/>
      <c r="B11" s="17"/>
      <c r="C11" s="17"/>
      <c r="D11" s="17"/>
      <c r="E11" s="17"/>
      <c r="F11" s="18"/>
    </row>
    <row r="12" spans="1:7" x14ac:dyDescent="0.25">
      <c r="A12" s="16"/>
      <c r="B12" s="17"/>
      <c r="C12" s="17"/>
      <c r="D12" s="17"/>
      <c r="E12" s="17"/>
      <c r="F12" s="18"/>
    </row>
    <row r="13" spans="1:7" ht="13" x14ac:dyDescent="0.3">
      <c r="A13" s="16" t="s">
        <v>14</v>
      </c>
      <c r="B13" s="23">
        <f>C10*1000000/(365*(F8)*F10)</f>
        <v>0.18264840182648401</v>
      </c>
      <c r="C13" s="27"/>
      <c r="D13" s="17"/>
      <c r="E13" s="17"/>
      <c r="F13" s="18"/>
    </row>
    <row r="14" spans="1:7" x14ac:dyDescent="0.25">
      <c r="A14" s="16"/>
      <c r="B14" s="17"/>
      <c r="C14" s="17"/>
      <c r="D14" s="17"/>
      <c r="E14" s="19" t="s">
        <v>28</v>
      </c>
      <c r="F14" s="29" t="s">
        <v>2</v>
      </c>
    </row>
    <row r="15" spans="1:7" ht="13" thickBot="1" x14ac:dyDescent="0.3">
      <c r="A15" s="20"/>
      <c r="B15" s="21"/>
      <c r="C15" s="21"/>
      <c r="D15" s="5" t="s">
        <v>15</v>
      </c>
      <c r="E15" s="25">
        <f>IF(B13&gt;=12,3,IF(B13&lt;3,0,3-((12-B13)*10*0.033)))</f>
        <v>0</v>
      </c>
      <c r="F15" s="8">
        <f>E15*2</f>
        <v>0</v>
      </c>
    </row>
    <row r="18" spans="1:9" ht="13.5" thickBot="1" x14ac:dyDescent="0.35">
      <c r="A18" s="9" t="s">
        <v>30</v>
      </c>
    </row>
    <row r="19" spans="1:9" x14ac:dyDescent="0.25">
      <c r="A19" s="13"/>
      <c r="B19" s="3" t="s">
        <v>28</v>
      </c>
      <c r="C19" s="24" t="s">
        <v>27</v>
      </c>
    </row>
    <row r="20" spans="1:9" ht="13" thickBot="1" x14ac:dyDescent="0.3">
      <c r="A20" s="62" t="s">
        <v>34</v>
      </c>
      <c r="B20" s="5">
        <f>IF(A20="High",3,IF(A20="Low",1,0))</f>
        <v>3</v>
      </c>
      <c r="C20" s="30">
        <f>B20*2</f>
        <v>6</v>
      </c>
    </row>
    <row r="23" spans="1:9" ht="13.5" thickBot="1" x14ac:dyDescent="0.35">
      <c r="A23" s="9" t="s">
        <v>33</v>
      </c>
      <c r="I23" t="s">
        <v>42</v>
      </c>
    </row>
    <row r="24" spans="1:9" x14ac:dyDescent="0.25">
      <c r="A24" s="13"/>
      <c r="B24" s="3" t="s">
        <v>28</v>
      </c>
      <c r="C24" s="24" t="s">
        <v>27</v>
      </c>
      <c r="I24" t="s">
        <v>43</v>
      </c>
    </row>
    <row r="25" spans="1:9" ht="13" thickBot="1" x14ac:dyDescent="0.3">
      <c r="A25" s="57" t="s">
        <v>32</v>
      </c>
      <c r="B25" s="5">
        <f>IF(A25="Poor",2,IF(A25="Fair",1,0))</f>
        <v>2</v>
      </c>
      <c r="C25" s="30">
        <f>B25*2</f>
        <v>4</v>
      </c>
      <c r="I25" t="s">
        <v>31</v>
      </c>
    </row>
    <row r="26" spans="1:9" x14ac:dyDescent="0.25">
      <c r="I26" t="s">
        <v>32</v>
      </c>
    </row>
    <row r="28" spans="1:9" ht="13.5" thickBot="1" x14ac:dyDescent="0.35">
      <c r="A28" s="9" t="s">
        <v>85</v>
      </c>
    </row>
    <row r="29" spans="1:9" x14ac:dyDescent="0.25">
      <c r="A29" s="13"/>
      <c r="B29" s="3" t="s">
        <v>28</v>
      </c>
      <c r="C29" s="24" t="s">
        <v>27</v>
      </c>
      <c r="I29" t="s">
        <v>96</v>
      </c>
    </row>
    <row r="30" spans="1:9" ht="13" thickBot="1" x14ac:dyDescent="0.3">
      <c r="A30" s="57" t="s">
        <v>50</v>
      </c>
      <c r="B30" s="5">
        <f>IF(A30="Neutral",0,IF(A30="Low",1,0))</f>
        <v>0</v>
      </c>
      <c r="C30" s="30">
        <f>B30*1</f>
        <v>0</v>
      </c>
      <c r="I30" t="s">
        <v>50</v>
      </c>
    </row>
    <row r="32" spans="1:9" ht="13.5" thickBot="1" x14ac:dyDescent="0.35">
      <c r="A32" s="9" t="s">
        <v>35</v>
      </c>
      <c r="I32" t="s">
        <v>44</v>
      </c>
    </row>
    <row r="33" spans="1:9" x14ac:dyDescent="0.25">
      <c r="A33" s="13"/>
      <c r="B33" s="14"/>
      <c r="C33" s="14"/>
      <c r="D33" s="14"/>
      <c r="E33" s="3" t="s">
        <v>28</v>
      </c>
      <c r="F33" s="24" t="s">
        <v>27</v>
      </c>
      <c r="I33" t="s">
        <v>45</v>
      </c>
    </row>
    <row r="34" spans="1:9" ht="13" thickBot="1" x14ac:dyDescent="0.3">
      <c r="A34" s="84" t="s">
        <v>46</v>
      </c>
      <c r="B34" s="85"/>
      <c r="C34" s="85"/>
      <c r="D34" s="85"/>
      <c r="E34" s="36">
        <f>IF(A34="Project has been programmed (JP number from ODOT)",1,IF(A34="Received Clearance for Letting from ROW Division",6,IF(A34="Submitted Preliminary Plans and updated costs to ODOT",5,IF(A34="Submitted ROW Plans/received environmental clearance",4,IF(A34="Plan-in-hand meeting has been held",3,IF(A34="Entity has submitted plan-in-hand plans to ODOT",2,0))))))</f>
        <v>4</v>
      </c>
      <c r="F34" s="30">
        <f>E34*3</f>
        <v>12</v>
      </c>
      <c r="I34" t="s">
        <v>46</v>
      </c>
    </row>
    <row r="35" spans="1:9" x14ac:dyDescent="0.25">
      <c r="I35" t="s">
        <v>47</v>
      </c>
    </row>
    <row r="36" spans="1:9" ht="13" thickBot="1" x14ac:dyDescent="0.3">
      <c r="I36" t="s">
        <v>48</v>
      </c>
    </row>
    <row r="37" spans="1:9" ht="13" x14ac:dyDescent="0.3">
      <c r="F37" s="33" t="s">
        <v>37</v>
      </c>
      <c r="I37" t="s">
        <v>106</v>
      </c>
    </row>
    <row r="38" spans="1:9" ht="13" thickBot="1" x14ac:dyDescent="0.3">
      <c r="F38" s="34">
        <f>F34+C25+C20+F15+C30</f>
        <v>22</v>
      </c>
      <c r="I38" t="s">
        <v>107</v>
      </c>
    </row>
  </sheetData>
  <sheetProtection selectLockedCells="1"/>
  <mergeCells count="2">
    <mergeCell ref="A34:D34"/>
    <mergeCell ref="A4:F4"/>
  </mergeCells>
  <phoneticPr fontId="15" type="noConversion"/>
  <dataValidations count="3">
    <dataValidation type="list" allowBlank="1" showInputMessage="1" showErrorMessage="1" sqref="A34">
      <formula1>$I$32:$I$38</formula1>
    </dataValidation>
    <dataValidation type="list" allowBlank="1" showInputMessage="1" showErrorMessage="1" sqref="A25">
      <formula1>$I$23:$I$26</formula1>
    </dataValidation>
    <dataValidation type="list" allowBlank="1" showInputMessage="1" showErrorMessage="1" sqref="A30">
      <formula1>$I$29:$I$30</formula1>
    </dataValidation>
  </dataValidations>
  <printOptions horizontalCentered="1"/>
  <pageMargins left="0.52" right="0.75" top="1" bottom="1" header="0.5" footer="0.5"/>
  <pageSetup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2" sqref="A12"/>
    </sheetView>
  </sheetViews>
  <sheetFormatPr defaultRowHeight="12.5" x14ac:dyDescent="0.25"/>
  <cols>
    <col min="1" max="1" width="32" customWidth="1"/>
  </cols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widening</vt:lpstr>
      <vt:lpstr>intersection</vt:lpstr>
      <vt:lpstr>safety</vt:lpstr>
      <vt:lpstr>R,R,R</vt:lpstr>
      <vt:lpstr>New Const.</vt:lpstr>
      <vt:lpstr>Bridge R&amp;R</vt:lpstr>
      <vt:lpstr>Bike Ped</vt:lpstr>
      <vt:lpstr>Carpool Admin.</vt:lpstr>
      <vt:lpstr>Sheet1</vt:lpstr>
      <vt:lpstr>FunctionalClass</vt:lpstr>
      <vt:lpstr>'Bike Ped'!Print_Area</vt:lpstr>
      <vt:lpstr>'Bridge R&amp;R'!Print_Area</vt:lpstr>
      <vt:lpstr>'Carpool Admin.'!Print_Area</vt:lpstr>
      <vt:lpstr>intersection!Print_Area</vt:lpstr>
      <vt:lpstr>'New Const.'!Print_Area</vt:lpstr>
      <vt:lpstr>'R,R,R'!Print_Area</vt:lpstr>
      <vt:lpstr>widening!Print_Area</vt:lpstr>
      <vt:lpstr>StructuralDeficiency</vt:lpstr>
      <vt:lpstr>WaterwayAdequacy</vt:lpstr>
    </vt:vector>
  </TitlesOfParts>
  <Company>ACOG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Rex</dc:creator>
  <cp:lastModifiedBy>Holly Massie</cp:lastModifiedBy>
  <cp:lastPrinted>2015-10-30T19:25:15Z</cp:lastPrinted>
  <dcterms:created xsi:type="dcterms:W3CDTF">1997-04-14T20:32:16Z</dcterms:created>
  <dcterms:modified xsi:type="dcterms:W3CDTF">2016-10-10T16:50:44Z</dcterms:modified>
</cp:coreProperties>
</file>